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BccABDEM\Downloads\"/>
    </mc:Choice>
  </mc:AlternateContent>
  <xr:revisionPtr revIDLastSave="0" documentId="8_{B2C4D99E-C856-4A4A-B7AE-65DCA0572E2A}" xr6:coauthVersionLast="47" xr6:coauthVersionMax="47" xr10:uidLastSave="{00000000-0000-0000-0000-000000000000}"/>
  <workbookProtection workbookAlgorithmName="SHA-512" workbookHashValue="aCaeHvRiltjRYx2MiXYRh1ViM7MRLhC73wHx5ptxbbIBUwYX/Q9Y6MghA+//G0AClUvUCuqKyQ1HgzjurIy52w==" workbookSaltValue="KiLNkhIY18ToJdKP+SmDGg==" workbookSpinCount="100000" lockStructure="1"/>
  <bookViews>
    <workbookView xWindow="-110" yWindow="-110" windowWidth="19420" windowHeight="10420" xr2:uid="{00000000-000D-0000-FFFF-FFFF00000000}"/>
  </bookViews>
  <sheets>
    <sheet name="Calculator" sheetId="11" r:id="rId1"/>
    <sheet name="Grants" sheetId="49" state="hidden" r:id="rId2"/>
    <sheet name="Summary Oct 2024" sheetId="54" state="hidden" r:id="rId3"/>
    <sheet name="OtherDSG" sheetId="66" state="hidden" r:id="rId4"/>
    <sheet name="Post 16" sheetId="65" state="hidden" r:id="rId5"/>
    <sheet name="HN" sheetId="62" state="hidden" r:id="rId6"/>
    <sheet name="EY" sheetId="61" state="hidden" r:id="rId7"/>
    <sheet name="Adjustments" sheetId="64" state="hidden" r:id="rId8"/>
    <sheet name="ISB" sheetId="52" state="hidden" r:id="rId9"/>
    <sheet name="ETA4" sheetId="59" state="hidden" r:id="rId10"/>
    <sheet name="LA Expenditure" sheetId="46" state="hidden" r:id="rId11"/>
    <sheet name="LA Income " sheetId="42" state="hidden" r:id="rId12"/>
    <sheet name="Lookup" sheetId="44" state="hidden" r:id="rId13"/>
  </sheets>
  <definedNames>
    <definedName name="_xlnm._FilterDatabase" localSheetId="7" hidden="1">Adjustments!$A$7:$J$219</definedName>
    <definedName name="_xlnm._FilterDatabase" localSheetId="6" hidden="1">EY!$A$7:$P$219</definedName>
    <definedName name="_xlnm._FilterDatabase" localSheetId="5" hidden="1">HN!$A$7:$Q$219</definedName>
    <definedName name="_xlnm._FilterDatabase" localSheetId="12" hidden="1">Lookup!$A$2:$P$2</definedName>
    <definedName name="_xlnm._FilterDatabase" localSheetId="4" hidden="1">'Post 16'!$A$7:$G$71</definedName>
    <definedName name="_xlnm._FilterDatabase" localSheetId="2" hidden="1">'Summary Oct 2024'!$A$7:$FE$220</definedName>
    <definedName name="aaa">#REF!</definedName>
    <definedName name="abcde">#REF!</definedName>
    <definedName name="Accrualsrevised">#REF!</definedName>
    <definedName name="Adjustment">#REF!</definedName>
    <definedName name="Adjustments_To_1415_SBS">#REF!</definedName>
    <definedName name="Adjustments_To_1516_SBS">#REF!</definedName>
    <definedName name="Adjustments_To_PY_SBS">#REF!</definedName>
    <definedName name="agrclient">#REF!</definedName>
    <definedName name="All_dist_taper">#REF!</definedName>
    <definedName name="All_distance_threshold">#REF!</definedName>
    <definedName name="All_PupilNo_threshold">#REF!</definedName>
    <definedName name="Alt_Gains_Cap">#REF!</definedName>
    <definedName name="anteprevious_year">#REF!</definedName>
    <definedName name="APRIL">#REF!</definedName>
    <definedName name="AUGUST">#REF!</definedName>
    <definedName name="AWPU_KS3_Rate">#REF!</definedName>
    <definedName name="AWPU_KS4_Rate">#REF!</definedName>
    <definedName name="AWPU_Pri_Rate">#REF!</definedName>
    <definedName name="AWPU_Primary_DD_rate">#REF!</definedName>
    <definedName name="AWPU_Sec_DD_rate">#REF!</definedName>
    <definedName name="BalanceSheet">#REF!</definedName>
    <definedName name="BANK">#REF!</definedName>
    <definedName name="BlockTransfersDSGSchoolsBlock">#REF!</definedName>
    <definedName name="BUDGET">#REF!</definedName>
    <definedName name="BUDGET94">#REF!</definedName>
    <definedName name="Capping_Scaling_YesNo">#REF!</definedName>
    <definedName name="Ceiling">#REF!</definedName>
    <definedName name="column">#REF!</definedName>
    <definedName name="CommentaryAdditionalFundingFromHN">#REF!</definedName>
    <definedName name="CommentaryFallingRollsFund">#REF!</definedName>
    <definedName name="CommentaryGrowth">#REF!</definedName>
    <definedName name="CommentaryPFI">#REF!</definedName>
    <definedName name="CostCentre">#REF!</definedName>
    <definedName name="current_year">#REF!</definedName>
    <definedName name="current_year_full">#REF!</definedName>
    <definedName name="CY_MFG_Exclusion_Totals">#REF!</definedName>
    <definedName name="DECEMBER">#REF!</definedName>
    <definedName name="dsource">#REF!</definedName>
    <definedName name="EAL_Pri">#REF!</definedName>
    <definedName name="EAL_Pri_DD_rate">#REF!</definedName>
    <definedName name="EAL_Pri_Option">#REF!</definedName>
    <definedName name="EAL_Sec">#REF!</definedName>
    <definedName name="EAL_Sec_DD_rate">#REF!</definedName>
    <definedName name="EAL_Sec_Option">#REF!</definedName>
    <definedName name="EarlyYears">#REF!</definedName>
    <definedName name="Ever6_Pri_DD_Rate">#REF!</definedName>
    <definedName name="Ever6_pri_rate">#REF!</definedName>
    <definedName name="Ever6_Sec_DD_Rate">#REF!</definedName>
    <definedName name="Ever6_sec_rate">#REF!</definedName>
    <definedName name="Exc_Cir1_Total">#REF!</definedName>
    <definedName name="Exc_Cir2_Total">#REF!</definedName>
    <definedName name="Exc_Cir3_Total">#REF!</definedName>
    <definedName name="Exc_Cir4_Total">#REF!</definedName>
    <definedName name="Exc_Cir5_Total">#REF!</definedName>
    <definedName name="Exc_Cir6_Total">#REF!</definedName>
    <definedName name="Exc_Cir7_Total">#REF!</definedName>
    <definedName name="Excel_BuiltIn__FilterDatabase_3">"['Maintained Schools'.$A$1:.$H$11636]"</definedName>
    <definedName name="Excel_BuiltIn__FilterDatabase_4">"[Academies.$A$1:.$H$6222]"</definedName>
    <definedName name="Excel_BuiltIn__FilterDatabase_5">"[NMSS.$A$1:.$H$56]"</definedName>
    <definedName name="FEBRUARY">#REF!</definedName>
    <definedName name="File_Name">#REF!</definedName>
    <definedName name="File_Type">#REF!</definedName>
    <definedName name="Fringe_multiplier">#REF!</definedName>
    <definedName name="Fringe_Total">#REF!</definedName>
    <definedName name="FSM_Pri_DD_rate">#REF!</definedName>
    <definedName name="FSM_Pri_Option">#REF!</definedName>
    <definedName name="FSM_Pri_Rate">#REF!</definedName>
    <definedName name="FSM_Pri_Rate_2">#REF!</definedName>
    <definedName name="FSM_Sec_DD_rate">#REF!</definedName>
    <definedName name="FSM_Sec_Option">#REF!</definedName>
    <definedName name="FSM_Sec_Rate">#REF!</definedName>
    <definedName name="Funding_Floor">#REF!</definedName>
    <definedName name="Funding_Floor_Adjustment">#REF!</definedName>
    <definedName name="gfd">#REF!</definedName>
    <definedName name="glpage1">#REF!</definedName>
    <definedName name="glpage2">#REF!</definedName>
    <definedName name="glsum">#REF!</definedName>
    <definedName name="growthfunding">#REF!</definedName>
    <definedName name="IA_amalgamation">#REF!</definedName>
    <definedName name="IA_closed_preApril">#REF!</definedName>
    <definedName name="IA_conversion">#REF!</definedName>
    <definedName name="IA_new_free_school">#REF!</definedName>
    <definedName name="IA_NOR_change">#REF!</definedName>
    <definedName name="IA_open_postApril">#REF!</definedName>
    <definedName name="IA_open_preApril">#REF!</definedName>
    <definedName name="IDACI_B1_Pri">#REF!</definedName>
    <definedName name="IDACI_B1_Pri_DD_rate">#REF!</definedName>
    <definedName name="IDACI_B1_Sec">#REF!</definedName>
    <definedName name="IDACI_B1_Sec_DD_rate">#REF!</definedName>
    <definedName name="IDACI_B2_Pri">#REF!</definedName>
    <definedName name="IDACI_B2_Pri_DD_rate">#REF!</definedName>
    <definedName name="IDACI_B2_Sec">#REF!</definedName>
    <definedName name="IDACI_B2_Sec_DD_rate">#REF!</definedName>
    <definedName name="IDACI_B3_Pri">#REF!</definedName>
    <definedName name="IDACI_B3_Pri_DD_rate">#REF!</definedName>
    <definedName name="IDACI_B3_Sec">#REF!</definedName>
    <definedName name="IDACI_B3_Sec_DD_rate">#REF!</definedName>
    <definedName name="IDACI_B4_Pri">#REF!</definedName>
    <definedName name="IDACI_B4_Pri_DD_rate">#REF!</definedName>
    <definedName name="IDACI_B4_Sec">#REF!</definedName>
    <definedName name="IDACI_B4_Sec_DD_rate">#REF!</definedName>
    <definedName name="IDACI_B5_Pri">#REF!</definedName>
    <definedName name="IDACI_B5_Pri_DD_rate">#REF!</definedName>
    <definedName name="IDACI_B5_Sec">#REF!</definedName>
    <definedName name="IDACI_B5_Sec_DD_rate">#REF!</definedName>
    <definedName name="IDACI_B6_Pri">#REF!</definedName>
    <definedName name="IDACI_B6_Pri_DD_rate">#REF!</definedName>
    <definedName name="IDACI_B6_Sec">#REF!</definedName>
    <definedName name="IDACI_B6_Sec_DD_rate">#REF!</definedName>
    <definedName name="INCOME">#REF!</definedName>
    <definedName name="INCOME94">#REF!</definedName>
    <definedName name="JANUARY">#REF!</definedName>
    <definedName name="JULY">#REF!</definedName>
    <definedName name="JUNE">#REF!</definedName>
    <definedName name="LA_Code">#REF!</definedName>
    <definedName name="LA_Name">#REF!</definedName>
    <definedName name="LAC_Pri_DD_rate">#REF!</definedName>
    <definedName name="LAC_Rate">#REF!</definedName>
    <definedName name="LAC_Sec_DD_rate">#REF!</definedName>
    <definedName name="LCHI_Pri">#REF!</definedName>
    <definedName name="LCHI_Pri_DD_rate">#REF!</definedName>
    <definedName name="LCHI_Pri_Option">#REF!</definedName>
    <definedName name="LCHI_Sec">#REF!</definedName>
    <definedName name="LCHI_Sec_DD_rate">#REF!</definedName>
    <definedName name="Lump_sum_Pri_DD_rate">#REF!</definedName>
    <definedName name="Lump_sum_Sec_DD_rate">#REF!</definedName>
    <definedName name="Lump_Sum_total">#REF!</definedName>
    <definedName name="MARCH">#REF!</definedName>
    <definedName name="MAY">#REF!</definedName>
    <definedName name="MFG_Rate">#REF!</definedName>
    <definedName name="MFG_Total">#REF!</definedName>
    <definedName name="Mid_dist_taper">#REF!</definedName>
    <definedName name="Mid_distance_threshold">#REF!</definedName>
    <definedName name="Mid_PupilNo_threshold">#REF!</definedName>
    <definedName name="min_pupil_rate_KS3">#REF!</definedName>
    <definedName name="min_pupil_rate_KS4">#REF!</definedName>
    <definedName name="min_pupil_rate_pri">#REF!</definedName>
    <definedName name="min_pupil_rate_sec">#REF!</definedName>
    <definedName name="Mobility_Pri">#REF!</definedName>
    <definedName name="Mobility_Pri_DD_Rate">#REF!</definedName>
    <definedName name="Mobility_Sec">#REF!</definedName>
    <definedName name="Mobility_Sec_DD_Rate">#REF!</definedName>
    <definedName name="mppf_pri">#REF!</definedName>
    <definedName name="mppf_sec">#REF!</definedName>
    <definedName name="Notional_SEN_AWPU_KS3">#REF!</definedName>
    <definedName name="Notional_SEN_AWPU_KS4">#REF!</definedName>
    <definedName name="Notional_SEN_AWPU_Pri">#REF!</definedName>
    <definedName name="Notional_SEN_EAL_Pri">#REF!</definedName>
    <definedName name="Notional_SEN_EAL_Sec">#REF!</definedName>
    <definedName name="Notional_SEN_Ever6_Pri">#REF!</definedName>
    <definedName name="Notional_SEN_Ever6_Sec">#REF!</definedName>
    <definedName name="Notional_SEN_ExCir2">#REF!</definedName>
    <definedName name="Notional_SEN_ExCir3">#REF!</definedName>
    <definedName name="Notional_SEN_ExCir4">#REF!</definedName>
    <definedName name="Notional_SEN_ExCir5">#REF!</definedName>
    <definedName name="Notional_SEN_ExCir6">#REF!</definedName>
    <definedName name="Notional_SEN_ExCir7">#REF!</definedName>
    <definedName name="Notional_SEN_FF">#REF!</definedName>
    <definedName name="Notional_SEN_FSM_Pri">#REF!</definedName>
    <definedName name="Notional_SEN_FSM_Sec">#REF!</definedName>
    <definedName name="Notional_SEN_IDACI_B1_Pri">#REF!</definedName>
    <definedName name="Notional_SEN_IDACI_B1_Sec">#REF!</definedName>
    <definedName name="Notional_SEN_IDACI_B2_Pri">#REF!</definedName>
    <definedName name="Notional_SEN_IDACI_B2_Sec">#REF!</definedName>
    <definedName name="Notional_SEN_IDACI_B3_Pri">#REF!</definedName>
    <definedName name="Notional_SEN_IDACI_B3_Sec">#REF!</definedName>
    <definedName name="Notional_SEN_IDACI_B4_Pri">#REF!</definedName>
    <definedName name="Notional_SEN_IDACI_B4_Sec">#REF!</definedName>
    <definedName name="Notional_SEN_IDACI_B5_Pri">#REF!</definedName>
    <definedName name="Notional_SEN_IDACI_B5_Sec">#REF!</definedName>
    <definedName name="Notional_SEN_IDACI_B6_Pri">#REF!</definedName>
    <definedName name="Notional_SEN_IDACI_B6_Sec">#REF!</definedName>
    <definedName name="Notional_SEN_LAC">#REF!</definedName>
    <definedName name="Notional_SEN_LCHI_Pri">#REF!</definedName>
    <definedName name="Notional_SEN_LCHI_Sec">#REF!</definedName>
    <definedName name="Notional_SEN_Lump_sum_Pri">#REF!</definedName>
    <definedName name="Notional_SEN_Lump_sum_Sec">#REF!</definedName>
    <definedName name="Notional_SEN_MFG">#REF!</definedName>
    <definedName name="Notional_SEN_Mobility_Pri">#REF!</definedName>
    <definedName name="Notional_SEN_Mobility_Sec">#REF!</definedName>
    <definedName name="Notional_SEN_MPPF">#REF!</definedName>
    <definedName name="Notional_SEN_PFI">#REF!</definedName>
    <definedName name="Notional_SEN_Rates">#REF!</definedName>
    <definedName name="Notional_SEN_SixthForm">#REF!</definedName>
    <definedName name="Notional_SEN_Sparsity_Pri">#REF!</definedName>
    <definedName name="Notional_SEN_Sparsity_Sec">#REF!</definedName>
    <definedName name="Notional_SEN_Split_sites">#REF!</definedName>
    <definedName name="NOVEMBER">#REF!</definedName>
    <definedName name="OCTOBER">#REF!</definedName>
    <definedName name="part">#REF!</definedName>
    <definedName name="PFI_Total">#REF!</definedName>
    <definedName name="previous_year">#REF!</definedName>
    <definedName name="previous_year_full">#REF!</definedName>
    <definedName name="Pri_dist_taper">#REF!</definedName>
    <definedName name="Pri_distance_threshold">#REF!</definedName>
    <definedName name="Pri_PupilNo_threshold">#REF!</definedName>
    <definedName name="Primary_Lump_sum">#REF!</definedName>
    <definedName name="_xlnm.Print_Area" localSheetId="0">Calculator!$A$1:$U$139</definedName>
    <definedName name="ProformaAdditionalFundingFromHN">#REF!</definedName>
    <definedName name="ProformaExceptionalCircumstanceTotals">#REF!</definedName>
    <definedName name="ProformaFallingRollsFund">#REF!</definedName>
    <definedName name="ProformaGrowthFund">#REF!</definedName>
    <definedName name="ProformaHNThreshold">#REF!</definedName>
    <definedName name="PupilPremium">#REF!</definedName>
    <definedName name="PY_MFG_Exclusion_Totals">#REF!</definedName>
    <definedName name="Quarter">#REF!</definedName>
    <definedName name="Rates_Total">#REF!</definedName>
    <definedName name="Reasons_list">#REF!</definedName>
    <definedName name="Reception_Uplift_YesNo">#REF!</definedName>
    <definedName name="revbudg">#REF!</definedName>
    <definedName name="row">#REF!</definedName>
    <definedName name="Scaling_Factor">#REF!</definedName>
    <definedName name="School">#REF!</definedName>
    <definedName name="School_list">#REF!</definedName>
    <definedName name="School_Name">#REF!</definedName>
    <definedName name="Schools">#REF!</definedName>
    <definedName name="Schoolsreference2">#REF!</definedName>
    <definedName name="Sec_dist_taper">#REF!</definedName>
    <definedName name="Sec_distance_threshold">#REF!</definedName>
    <definedName name="Sec_PupilNo_threshold">#REF!</definedName>
    <definedName name="Secondary_Lump_Sum">#REF!</definedName>
    <definedName name="SEPTEMBER">#REF!</definedName>
    <definedName name="Sheet_Name">#REF!</definedName>
    <definedName name="Sixth_Form_Total">#REF!</definedName>
    <definedName name="Sparsity_All_lump_sum">#REF!</definedName>
    <definedName name="Sparsity_Mid_lump_sum">#REF!</definedName>
    <definedName name="Sparsity_Pri_DD_percentage">#REF!</definedName>
    <definedName name="Sparsity_Pri_lump_sum">#REF!</definedName>
    <definedName name="Sparsity_Sec_DD_percentage">#REF!</definedName>
    <definedName name="Sparsity_Sec_lump_sum">#REF!</definedName>
    <definedName name="Sparsity_Total">#REF!</definedName>
    <definedName name="Split_sites_distance_rate">#REF!</definedName>
    <definedName name="Split_sites_lump_sum">#REF!</definedName>
    <definedName name="Split_Sites_Total">#REF!</definedName>
    <definedName name="table">#REF!</definedName>
    <definedName name="Tapered_all_lump_sum">#REF!</definedName>
    <definedName name="Tapered_mid_lump_sum">#REF!</definedName>
    <definedName name="Tapered_primary_lump_sum">#REF!</definedName>
    <definedName name="Tapered_secondary_lump_sum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Notional_SEN">#REF!</definedName>
    <definedName name="Total_Primary_funding">#REF!</definedName>
    <definedName name="Total_Secondary_Funding">#REF!</definedName>
    <definedName name="ValidationList1">#REF!</definedName>
    <definedName name="ValidationList2">#REF!</definedName>
    <definedName name="WorkingBudget">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9" i="11" l="1"/>
  <c r="H98" i="11"/>
  <c r="H96" i="11"/>
  <c r="H94" i="11"/>
  <c r="H92" i="11"/>
  <c r="H88" i="11"/>
  <c r="H87" i="11"/>
  <c r="I84" i="11"/>
  <c r="H82" i="11"/>
  <c r="J85" i="11"/>
  <c r="AF71" i="54" l="1"/>
  <c r="AA71" i="54"/>
  <c r="AB71" i="54"/>
  <c r="AC71" i="54"/>
  <c r="AD71" i="54"/>
  <c r="AE71" i="54"/>
  <c r="AE72" i="54" s="1"/>
  <c r="Z71" i="54"/>
  <c r="Z70" i="54"/>
  <c r="AA72" i="54"/>
  <c r="AB72" i="54"/>
  <c r="Z72" i="54"/>
  <c r="V72" i="54"/>
  <c r="W72" i="54"/>
  <c r="X72" i="54"/>
  <c r="Y72" i="54"/>
  <c r="AC72" i="54"/>
  <c r="AD72" i="54"/>
  <c r="U72" i="54"/>
  <c r="I72" i="54"/>
  <c r="J72" i="54"/>
  <c r="K72" i="54"/>
  <c r="L72" i="54"/>
  <c r="M72" i="54"/>
  <c r="N72" i="54"/>
  <c r="O72" i="54"/>
  <c r="P72" i="54"/>
  <c r="Q72" i="54"/>
  <c r="R72" i="54"/>
  <c r="S72" i="54"/>
  <c r="H72" i="54"/>
  <c r="K76" i="11"/>
  <c r="L76" i="11"/>
  <c r="M76" i="11"/>
  <c r="N76" i="11"/>
  <c r="O76" i="11"/>
  <c r="P76" i="11"/>
  <c r="J76" i="11"/>
  <c r="I77" i="11"/>
  <c r="I76" i="11"/>
  <c r="H75" i="11"/>
  <c r="H74" i="11"/>
  <c r="P218" i="66"/>
  <c r="O218" i="66"/>
  <c r="N218" i="66"/>
  <c r="K218" i="66"/>
  <c r="H218" i="66"/>
  <c r="AA217" i="66"/>
  <c r="Z217" i="66"/>
  <c r="Y217" i="66"/>
  <c r="X217" i="66"/>
  <c r="W217" i="66"/>
  <c r="V217" i="66"/>
  <c r="U217" i="66"/>
  <c r="T217" i="66"/>
  <c r="S217" i="66"/>
  <c r="Q217" i="66"/>
  <c r="AB217" i="66" s="1"/>
  <c r="AA216" i="66"/>
  <c r="Z216" i="66"/>
  <c r="Y216" i="66"/>
  <c r="X216" i="66"/>
  <c r="W216" i="66"/>
  <c r="V216" i="66"/>
  <c r="U216" i="66"/>
  <c r="T216" i="66"/>
  <c r="S216" i="66"/>
  <c r="Q216" i="66"/>
  <c r="AB216" i="66" s="1"/>
  <c r="AA215" i="66"/>
  <c r="Z215" i="66"/>
  <c r="Y215" i="66"/>
  <c r="X215" i="66"/>
  <c r="W215" i="66"/>
  <c r="V215" i="66"/>
  <c r="U215" i="66"/>
  <c r="T215" i="66"/>
  <c r="S215" i="66"/>
  <c r="Q215" i="66"/>
  <c r="AB215" i="66" s="1"/>
  <c r="AA214" i="66"/>
  <c r="Z214" i="66"/>
  <c r="Y214" i="66"/>
  <c r="X214" i="66"/>
  <c r="W214" i="66"/>
  <c r="V214" i="66"/>
  <c r="U214" i="66"/>
  <c r="T214" i="66"/>
  <c r="S214" i="66"/>
  <c r="Q214" i="66"/>
  <c r="AB214" i="66" s="1"/>
  <c r="AA213" i="66"/>
  <c r="Z213" i="66"/>
  <c r="Y213" i="66"/>
  <c r="X213" i="66"/>
  <c r="W213" i="66"/>
  <c r="V213" i="66"/>
  <c r="U213" i="66"/>
  <c r="T213" i="66"/>
  <c r="S213" i="66"/>
  <c r="Q213" i="66"/>
  <c r="AB213" i="66" s="1"/>
  <c r="AA212" i="66"/>
  <c r="Z212" i="66"/>
  <c r="Y212" i="66"/>
  <c r="X212" i="66"/>
  <c r="W212" i="66"/>
  <c r="V212" i="66"/>
  <c r="U212" i="66"/>
  <c r="T212" i="66"/>
  <c r="S212" i="66"/>
  <c r="Q212" i="66"/>
  <c r="AB212" i="66" s="1"/>
  <c r="AA211" i="66"/>
  <c r="Z211" i="66"/>
  <c r="Y211" i="66"/>
  <c r="X211" i="66"/>
  <c r="W211" i="66"/>
  <c r="V211" i="66"/>
  <c r="U211" i="66"/>
  <c r="T211" i="66"/>
  <c r="S211" i="66"/>
  <c r="Q211" i="66"/>
  <c r="AB211" i="66" s="1"/>
  <c r="AA210" i="66"/>
  <c r="Z210" i="66"/>
  <c r="Y210" i="66"/>
  <c r="X210" i="66"/>
  <c r="W210" i="66"/>
  <c r="V210" i="66"/>
  <c r="U210" i="66"/>
  <c r="T210" i="66"/>
  <c r="S210" i="66"/>
  <c r="Q210" i="66"/>
  <c r="AB210" i="66" s="1"/>
  <c r="AA209" i="66"/>
  <c r="Z209" i="66"/>
  <c r="Y209" i="66"/>
  <c r="X209" i="66"/>
  <c r="W209" i="66"/>
  <c r="V209" i="66"/>
  <c r="U209" i="66"/>
  <c r="T209" i="66"/>
  <c r="S209" i="66"/>
  <c r="Q209" i="66"/>
  <c r="AB209" i="66" s="1"/>
  <c r="AA208" i="66"/>
  <c r="Z208" i="66"/>
  <c r="Y208" i="66"/>
  <c r="X208" i="66"/>
  <c r="W208" i="66"/>
  <c r="V208" i="66"/>
  <c r="U208" i="66"/>
  <c r="T208" i="66"/>
  <c r="S208" i="66"/>
  <c r="Q208" i="66"/>
  <c r="AB208" i="66" s="1"/>
  <c r="AA207" i="66"/>
  <c r="Z207" i="66"/>
  <c r="Y207" i="66"/>
  <c r="X207" i="66"/>
  <c r="W207" i="66"/>
  <c r="V207" i="66"/>
  <c r="U207" i="66"/>
  <c r="T207" i="66"/>
  <c r="S207" i="66"/>
  <c r="Q207" i="66"/>
  <c r="AB207" i="66" s="1"/>
  <c r="AA206" i="66"/>
  <c r="Z206" i="66"/>
  <c r="Y206" i="66"/>
  <c r="X206" i="66"/>
  <c r="W206" i="66"/>
  <c r="V206" i="66"/>
  <c r="U206" i="66"/>
  <c r="T206" i="66"/>
  <c r="S206" i="66"/>
  <c r="Q206" i="66"/>
  <c r="AB206" i="66" s="1"/>
  <c r="AA205" i="66"/>
  <c r="Z205" i="66"/>
  <c r="Y205" i="66"/>
  <c r="X205" i="66"/>
  <c r="W205" i="66"/>
  <c r="V205" i="66"/>
  <c r="U205" i="66"/>
  <c r="T205" i="66"/>
  <c r="S205" i="66"/>
  <c r="Q205" i="66"/>
  <c r="AB205" i="66" s="1"/>
  <c r="AA204" i="66"/>
  <c r="Z204" i="66"/>
  <c r="Y204" i="66"/>
  <c r="X204" i="66"/>
  <c r="W204" i="66"/>
  <c r="V204" i="66"/>
  <c r="U204" i="66"/>
  <c r="T204" i="66"/>
  <c r="S204" i="66"/>
  <c r="Q204" i="66"/>
  <c r="AB204" i="66" s="1"/>
  <c r="AA203" i="66"/>
  <c r="Z203" i="66"/>
  <c r="Y203" i="66"/>
  <c r="X203" i="66"/>
  <c r="W203" i="66"/>
  <c r="V203" i="66"/>
  <c r="U203" i="66"/>
  <c r="T203" i="66"/>
  <c r="S203" i="66"/>
  <c r="Q203" i="66"/>
  <c r="AB203" i="66" s="1"/>
  <c r="AA202" i="66"/>
  <c r="Z202" i="66"/>
  <c r="Y202" i="66"/>
  <c r="X202" i="66"/>
  <c r="W202" i="66"/>
  <c r="V202" i="66"/>
  <c r="U202" i="66"/>
  <c r="T202" i="66"/>
  <c r="S202" i="66"/>
  <c r="Q202" i="66"/>
  <c r="AB202" i="66" s="1"/>
  <c r="AA201" i="66"/>
  <c r="Z201" i="66"/>
  <c r="Y201" i="66"/>
  <c r="X201" i="66"/>
  <c r="W201" i="66"/>
  <c r="V201" i="66"/>
  <c r="U201" i="66"/>
  <c r="T201" i="66"/>
  <c r="S201" i="66"/>
  <c r="Q201" i="66"/>
  <c r="AB201" i="66" s="1"/>
  <c r="AA200" i="66"/>
  <c r="Z200" i="66"/>
  <c r="Y200" i="66"/>
  <c r="X200" i="66"/>
  <c r="W200" i="66"/>
  <c r="V200" i="66"/>
  <c r="U200" i="66"/>
  <c r="T200" i="66"/>
  <c r="S200" i="66"/>
  <c r="Q200" i="66"/>
  <c r="AB200" i="66" s="1"/>
  <c r="AA199" i="66"/>
  <c r="Z199" i="66"/>
  <c r="Y199" i="66"/>
  <c r="X199" i="66"/>
  <c r="W199" i="66"/>
  <c r="V199" i="66"/>
  <c r="U199" i="66"/>
  <c r="T199" i="66"/>
  <c r="S199" i="66"/>
  <c r="Q199" i="66"/>
  <c r="AB199" i="66" s="1"/>
  <c r="AA198" i="66"/>
  <c r="Z198" i="66"/>
  <c r="Y198" i="66"/>
  <c r="X198" i="66"/>
  <c r="W198" i="66"/>
  <c r="V198" i="66"/>
  <c r="U198" i="66"/>
  <c r="T198" i="66"/>
  <c r="S198" i="66"/>
  <c r="Q198" i="66"/>
  <c r="AB198" i="66" s="1"/>
  <c r="AA197" i="66"/>
  <c r="Z197" i="66"/>
  <c r="Y197" i="66"/>
  <c r="X197" i="66"/>
  <c r="W197" i="66"/>
  <c r="V197" i="66"/>
  <c r="U197" i="66"/>
  <c r="T197" i="66"/>
  <c r="S197" i="66"/>
  <c r="Q197" i="66"/>
  <c r="AB197" i="66" s="1"/>
  <c r="AA196" i="66"/>
  <c r="Z196" i="66"/>
  <c r="Y196" i="66"/>
  <c r="X196" i="66"/>
  <c r="W196" i="66"/>
  <c r="V196" i="66"/>
  <c r="U196" i="66"/>
  <c r="T196" i="66"/>
  <c r="S196" i="66"/>
  <c r="Q196" i="66"/>
  <c r="AB196" i="66" s="1"/>
  <c r="AA195" i="66"/>
  <c r="Z195" i="66"/>
  <c r="Y195" i="66"/>
  <c r="X195" i="66"/>
  <c r="W195" i="66"/>
  <c r="V195" i="66"/>
  <c r="U195" i="66"/>
  <c r="T195" i="66"/>
  <c r="S195" i="66"/>
  <c r="Q195" i="66"/>
  <c r="AB195" i="66" s="1"/>
  <c r="AA194" i="66"/>
  <c r="Z194" i="66"/>
  <c r="Y194" i="66"/>
  <c r="X194" i="66"/>
  <c r="W194" i="66"/>
  <c r="V194" i="66"/>
  <c r="U194" i="66"/>
  <c r="T194" i="66"/>
  <c r="S194" i="66"/>
  <c r="Q194" i="66"/>
  <c r="AB194" i="66" s="1"/>
  <c r="AA193" i="66"/>
  <c r="Z193" i="66"/>
  <c r="Y193" i="66"/>
  <c r="X193" i="66"/>
  <c r="W193" i="66"/>
  <c r="V193" i="66"/>
  <c r="U193" i="66"/>
  <c r="T193" i="66"/>
  <c r="S193" i="66"/>
  <c r="Q193" i="66"/>
  <c r="AB193" i="66" s="1"/>
  <c r="AA192" i="66"/>
  <c r="Z192" i="66"/>
  <c r="Y192" i="66"/>
  <c r="X192" i="66"/>
  <c r="W192" i="66"/>
  <c r="V192" i="66"/>
  <c r="U192" i="66"/>
  <c r="T192" i="66"/>
  <c r="S192" i="66"/>
  <c r="Q192" i="66"/>
  <c r="AB192" i="66" s="1"/>
  <c r="AA191" i="66"/>
  <c r="Z191" i="66"/>
  <c r="Y191" i="66"/>
  <c r="X191" i="66"/>
  <c r="W191" i="66"/>
  <c r="V191" i="66"/>
  <c r="U191" i="66"/>
  <c r="T191" i="66"/>
  <c r="S191" i="66"/>
  <c r="Q191" i="66"/>
  <c r="AB191" i="66" s="1"/>
  <c r="AA190" i="66"/>
  <c r="Z190" i="66"/>
  <c r="Y190" i="66"/>
  <c r="X190" i="66"/>
  <c r="W190" i="66"/>
  <c r="V190" i="66"/>
  <c r="U190" i="66"/>
  <c r="T190" i="66"/>
  <c r="S190" i="66"/>
  <c r="Q190" i="66"/>
  <c r="AB190" i="66" s="1"/>
  <c r="AA189" i="66"/>
  <c r="Z189" i="66"/>
  <c r="Y189" i="66"/>
  <c r="X189" i="66"/>
  <c r="W189" i="66"/>
  <c r="V189" i="66"/>
  <c r="U189" i="66"/>
  <c r="T189" i="66"/>
  <c r="S189" i="66"/>
  <c r="Q189" i="66"/>
  <c r="AB189" i="66" s="1"/>
  <c r="AA188" i="66"/>
  <c r="Z188" i="66"/>
  <c r="Y188" i="66"/>
  <c r="X188" i="66"/>
  <c r="W188" i="66"/>
  <c r="V188" i="66"/>
  <c r="U188" i="66"/>
  <c r="T188" i="66"/>
  <c r="S188" i="66"/>
  <c r="Q188" i="66"/>
  <c r="AB188" i="66" s="1"/>
  <c r="AA187" i="66"/>
  <c r="Z187" i="66"/>
  <c r="Y187" i="66"/>
  <c r="X187" i="66"/>
  <c r="W187" i="66"/>
  <c r="V187" i="66"/>
  <c r="U187" i="66"/>
  <c r="T187" i="66"/>
  <c r="S187" i="66"/>
  <c r="Q187" i="66"/>
  <c r="AB187" i="66" s="1"/>
  <c r="AA186" i="66"/>
  <c r="Z186" i="66"/>
  <c r="Y186" i="66"/>
  <c r="X186" i="66"/>
  <c r="W186" i="66"/>
  <c r="V186" i="66"/>
  <c r="U186" i="66"/>
  <c r="T186" i="66"/>
  <c r="S186" i="66"/>
  <c r="Q186" i="66"/>
  <c r="AB186" i="66" s="1"/>
  <c r="AA185" i="66"/>
  <c r="Z185" i="66"/>
  <c r="Y185" i="66"/>
  <c r="X185" i="66"/>
  <c r="W185" i="66"/>
  <c r="V185" i="66"/>
  <c r="U185" i="66"/>
  <c r="T185" i="66"/>
  <c r="S185" i="66"/>
  <c r="Q185" i="66"/>
  <c r="AB185" i="66" s="1"/>
  <c r="AA184" i="66"/>
  <c r="Z184" i="66"/>
  <c r="Y184" i="66"/>
  <c r="X184" i="66"/>
  <c r="W184" i="66"/>
  <c r="V184" i="66"/>
  <c r="U184" i="66"/>
  <c r="T184" i="66"/>
  <c r="S184" i="66"/>
  <c r="Q184" i="66"/>
  <c r="AB184" i="66" s="1"/>
  <c r="AA183" i="66"/>
  <c r="Z183" i="66"/>
  <c r="Y183" i="66"/>
  <c r="X183" i="66"/>
  <c r="W183" i="66"/>
  <c r="V183" i="66"/>
  <c r="U183" i="66"/>
  <c r="T183" i="66"/>
  <c r="S183" i="66"/>
  <c r="Q183" i="66"/>
  <c r="AB183" i="66" s="1"/>
  <c r="AA182" i="66"/>
  <c r="Z182" i="66"/>
  <c r="Y182" i="66"/>
  <c r="X182" i="66"/>
  <c r="W182" i="66"/>
  <c r="V182" i="66"/>
  <c r="U182" i="66"/>
  <c r="T182" i="66"/>
  <c r="S182" i="66"/>
  <c r="Q182" i="66"/>
  <c r="AB182" i="66" s="1"/>
  <c r="AA181" i="66"/>
  <c r="Z181" i="66"/>
  <c r="Y181" i="66"/>
  <c r="X181" i="66"/>
  <c r="W181" i="66"/>
  <c r="V181" i="66"/>
  <c r="U181" i="66"/>
  <c r="T181" i="66"/>
  <c r="S181" i="66"/>
  <c r="Q181" i="66"/>
  <c r="AB181" i="66" s="1"/>
  <c r="AA180" i="66"/>
  <c r="Z180" i="66"/>
  <c r="Y180" i="66"/>
  <c r="X180" i="66"/>
  <c r="W180" i="66"/>
  <c r="V180" i="66"/>
  <c r="U180" i="66"/>
  <c r="T180" i="66"/>
  <c r="S180" i="66"/>
  <c r="Q180" i="66"/>
  <c r="AB180" i="66" s="1"/>
  <c r="AA179" i="66"/>
  <c r="Z179" i="66"/>
  <c r="Y179" i="66"/>
  <c r="X179" i="66"/>
  <c r="W179" i="66"/>
  <c r="V179" i="66"/>
  <c r="U179" i="66"/>
  <c r="T179" i="66"/>
  <c r="S179" i="66"/>
  <c r="Q179" i="66"/>
  <c r="AB179" i="66" s="1"/>
  <c r="AA178" i="66"/>
  <c r="Z178" i="66"/>
  <c r="Y178" i="66"/>
  <c r="X178" i="66"/>
  <c r="W178" i="66"/>
  <c r="V178" i="66"/>
  <c r="U178" i="66"/>
  <c r="T178" i="66"/>
  <c r="S178" i="66"/>
  <c r="Q178" i="66"/>
  <c r="AB178" i="66" s="1"/>
  <c r="AA177" i="66"/>
  <c r="Z177" i="66"/>
  <c r="Y177" i="66"/>
  <c r="X177" i="66"/>
  <c r="W177" i="66"/>
  <c r="V177" i="66"/>
  <c r="U177" i="66"/>
  <c r="T177" i="66"/>
  <c r="S177" i="66"/>
  <c r="Q177" i="66"/>
  <c r="AB177" i="66" s="1"/>
  <c r="AA176" i="66"/>
  <c r="Z176" i="66"/>
  <c r="Y176" i="66"/>
  <c r="X176" i="66"/>
  <c r="W176" i="66"/>
  <c r="V176" i="66"/>
  <c r="U176" i="66"/>
  <c r="T176" i="66"/>
  <c r="S176" i="66"/>
  <c r="Q176" i="66"/>
  <c r="AB176" i="66" s="1"/>
  <c r="AA175" i="66"/>
  <c r="Z175" i="66"/>
  <c r="Y175" i="66"/>
  <c r="X175" i="66"/>
  <c r="W175" i="66"/>
  <c r="V175" i="66"/>
  <c r="U175" i="66"/>
  <c r="T175" i="66"/>
  <c r="S175" i="66"/>
  <c r="Q175" i="66"/>
  <c r="AB175" i="66" s="1"/>
  <c r="AA174" i="66"/>
  <c r="Z174" i="66"/>
  <c r="Y174" i="66"/>
  <c r="X174" i="66"/>
  <c r="W174" i="66"/>
  <c r="V174" i="66"/>
  <c r="U174" i="66"/>
  <c r="T174" i="66"/>
  <c r="S174" i="66"/>
  <c r="Q174" i="66"/>
  <c r="AB174" i="66" s="1"/>
  <c r="AA173" i="66"/>
  <c r="Z173" i="66"/>
  <c r="Y173" i="66"/>
  <c r="X173" i="66"/>
  <c r="W173" i="66"/>
  <c r="V173" i="66"/>
  <c r="U173" i="66"/>
  <c r="T173" i="66"/>
  <c r="S173" i="66"/>
  <c r="Q173" i="66"/>
  <c r="AB173" i="66" s="1"/>
  <c r="AA172" i="66"/>
  <c r="Z172" i="66"/>
  <c r="Y172" i="66"/>
  <c r="X172" i="66"/>
  <c r="W172" i="66"/>
  <c r="V172" i="66"/>
  <c r="U172" i="66"/>
  <c r="T172" i="66"/>
  <c r="S172" i="66"/>
  <c r="Q172" i="66"/>
  <c r="AB172" i="66" s="1"/>
  <c r="AA171" i="66"/>
  <c r="Z171" i="66"/>
  <c r="Y171" i="66"/>
  <c r="X171" i="66"/>
  <c r="W171" i="66"/>
  <c r="V171" i="66"/>
  <c r="U171" i="66"/>
  <c r="T171" i="66"/>
  <c r="S171" i="66"/>
  <c r="Q171" i="66"/>
  <c r="AB171" i="66" s="1"/>
  <c r="AA170" i="66"/>
  <c r="Z170" i="66"/>
  <c r="Y170" i="66"/>
  <c r="X170" i="66"/>
  <c r="W170" i="66"/>
  <c r="V170" i="66"/>
  <c r="U170" i="66"/>
  <c r="T170" i="66"/>
  <c r="S170" i="66"/>
  <c r="Q170" i="66"/>
  <c r="AB170" i="66" s="1"/>
  <c r="AA169" i="66"/>
  <c r="Z169" i="66"/>
  <c r="Y169" i="66"/>
  <c r="X169" i="66"/>
  <c r="W169" i="66"/>
  <c r="V169" i="66"/>
  <c r="U169" i="66"/>
  <c r="T169" i="66"/>
  <c r="S169" i="66"/>
  <c r="Q169" i="66"/>
  <c r="AB169" i="66" s="1"/>
  <c r="AA168" i="66"/>
  <c r="Z168" i="66"/>
  <c r="Y168" i="66"/>
  <c r="X168" i="66"/>
  <c r="W168" i="66"/>
  <c r="V168" i="66"/>
  <c r="U168" i="66"/>
  <c r="T168" i="66"/>
  <c r="S168" i="66"/>
  <c r="Q168" i="66"/>
  <c r="AB168" i="66" s="1"/>
  <c r="AA167" i="66"/>
  <c r="Z167" i="66"/>
  <c r="Y167" i="66"/>
  <c r="X167" i="66"/>
  <c r="W167" i="66"/>
  <c r="V167" i="66"/>
  <c r="U167" i="66"/>
  <c r="T167" i="66"/>
  <c r="S167" i="66"/>
  <c r="Q167" i="66"/>
  <c r="AB167" i="66" s="1"/>
  <c r="AA166" i="66"/>
  <c r="Z166" i="66"/>
  <c r="Y166" i="66"/>
  <c r="X166" i="66"/>
  <c r="W166" i="66"/>
  <c r="V166" i="66"/>
  <c r="U166" i="66"/>
  <c r="T166" i="66"/>
  <c r="S166" i="66"/>
  <c r="Q166" i="66"/>
  <c r="AB166" i="66" s="1"/>
  <c r="AA165" i="66"/>
  <c r="Z165" i="66"/>
  <c r="Y165" i="66"/>
  <c r="X165" i="66"/>
  <c r="W165" i="66"/>
  <c r="V165" i="66"/>
  <c r="U165" i="66"/>
  <c r="T165" i="66"/>
  <c r="S165" i="66"/>
  <c r="Q165" i="66"/>
  <c r="AB165" i="66" s="1"/>
  <c r="AA164" i="66"/>
  <c r="Z164" i="66"/>
  <c r="Y164" i="66"/>
  <c r="X164" i="66"/>
  <c r="W164" i="66"/>
  <c r="V164" i="66"/>
  <c r="U164" i="66"/>
  <c r="T164" i="66"/>
  <c r="S164" i="66"/>
  <c r="Q164" i="66"/>
  <c r="AB164" i="66" s="1"/>
  <c r="AA163" i="66"/>
  <c r="Z163" i="66"/>
  <c r="Y163" i="66"/>
  <c r="X163" i="66"/>
  <c r="W163" i="66"/>
  <c r="V163" i="66"/>
  <c r="U163" i="66"/>
  <c r="T163" i="66"/>
  <c r="S163" i="66"/>
  <c r="Q163" i="66"/>
  <c r="AB163" i="66" s="1"/>
  <c r="AA162" i="66"/>
  <c r="Z162" i="66"/>
  <c r="Y162" i="66"/>
  <c r="X162" i="66"/>
  <c r="W162" i="66"/>
  <c r="V162" i="66"/>
  <c r="U162" i="66"/>
  <c r="T162" i="66"/>
  <c r="S162" i="66"/>
  <c r="Q162" i="66"/>
  <c r="AB162" i="66" s="1"/>
  <c r="AA161" i="66"/>
  <c r="Z161" i="66"/>
  <c r="Y161" i="66"/>
  <c r="X161" i="66"/>
  <c r="W161" i="66"/>
  <c r="V161" i="66"/>
  <c r="U161" i="66"/>
  <c r="T161" i="66"/>
  <c r="S161" i="66"/>
  <c r="Q161" i="66"/>
  <c r="AB161" i="66" s="1"/>
  <c r="AA160" i="66"/>
  <c r="Z160" i="66"/>
  <c r="Y160" i="66"/>
  <c r="X160" i="66"/>
  <c r="W160" i="66"/>
  <c r="V160" i="66"/>
  <c r="U160" i="66"/>
  <c r="T160" i="66"/>
  <c r="S160" i="66"/>
  <c r="Q160" i="66"/>
  <c r="AB160" i="66" s="1"/>
  <c r="AA159" i="66"/>
  <c r="Z159" i="66"/>
  <c r="Y159" i="66"/>
  <c r="X159" i="66"/>
  <c r="W159" i="66"/>
  <c r="V159" i="66"/>
  <c r="U159" i="66"/>
  <c r="T159" i="66"/>
  <c r="S159" i="66"/>
  <c r="Q159" i="66"/>
  <c r="AB159" i="66" s="1"/>
  <c r="AA158" i="66"/>
  <c r="Z158" i="66"/>
  <c r="Y158" i="66"/>
  <c r="X158" i="66"/>
  <c r="W158" i="66"/>
  <c r="V158" i="66"/>
  <c r="U158" i="66"/>
  <c r="T158" i="66"/>
  <c r="S158" i="66"/>
  <c r="Q158" i="66"/>
  <c r="AB158" i="66" s="1"/>
  <c r="AA157" i="66"/>
  <c r="Z157" i="66"/>
  <c r="Y157" i="66"/>
  <c r="X157" i="66"/>
  <c r="W157" i="66"/>
  <c r="V157" i="66"/>
  <c r="U157" i="66"/>
  <c r="T157" i="66"/>
  <c r="S157" i="66"/>
  <c r="Q157" i="66"/>
  <c r="AB157" i="66" s="1"/>
  <c r="AA156" i="66"/>
  <c r="Z156" i="66"/>
  <c r="Y156" i="66"/>
  <c r="X156" i="66"/>
  <c r="W156" i="66"/>
  <c r="V156" i="66"/>
  <c r="U156" i="66"/>
  <c r="T156" i="66"/>
  <c r="S156" i="66"/>
  <c r="Q156" i="66"/>
  <c r="AB156" i="66" s="1"/>
  <c r="AA155" i="66"/>
  <c r="Z155" i="66"/>
  <c r="Y155" i="66"/>
  <c r="X155" i="66"/>
  <c r="W155" i="66"/>
  <c r="V155" i="66"/>
  <c r="U155" i="66"/>
  <c r="T155" i="66"/>
  <c r="S155" i="66"/>
  <c r="Q155" i="66"/>
  <c r="AB155" i="66" s="1"/>
  <c r="AA154" i="66"/>
  <c r="Z154" i="66"/>
  <c r="Y154" i="66"/>
  <c r="X154" i="66"/>
  <c r="W154" i="66"/>
  <c r="V154" i="66"/>
  <c r="U154" i="66"/>
  <c r="T154" i="66"/>
  <c r="S154" i="66"/>
  <c r="Q154" i="66"/>
  <c r="AB154" i="66" s="1"/>
  <c r="AA153" i="66"/>
  <c r="Z153" i="66"/>
  <c r="Y153" i="66"/>
  <c r="X153" i="66"/>
  <c r="W153" i="66"/>
  <c r="V153" i="66"/>
  <c r="U153" i="66"/>
  <c r="T153" i="66"/>
  <c r="S153" i="66"/>
  <c r="Q153" i="66"/>
  <c r="AB153" i="66" s="1"/>
  <c r="AA152" i="66"/>
  <c r="Z152" i="66"/>
  <c r="Y152" i="66"/>
  <c r="X152" i="66"/>
  <c r="W152" i="66"/>
  <c r="V152" i="66"/>
  <c r="U152" i="66"/>
  <c r="T152" i="66"/>
  <c r="S152" i="66"/>
  <c r="Q152" i="66"/>
  <c r="AB152" i="66" s="1"/>
  <c r="AA151" i="66"/>
  <c r="Z151" i="66"/>
  <c r="Y151" i="66"/>
  <c r="X151" i="66"/>
  <c r="W151" i="66"/>
  <c r="V151" i="66"/>
  <c r="U151" i="66"/>
  <c r="T151" i="66"/>
  <c r="S151" i="66"/>
  <c r="Q151" i="66"/>
  <c r="AB151" i="66" s="1"/>
  <c r="AA150" i="66"/>
  <c r="Z150" i="66"/>
  <c r="Y150" i="66"/>
  <c r="X150" i="66"/>
  <c r="W150" i="66"/>
  <c r="V150" i="66"/>
  <c r="U150" i="66"/>
  <c r="T150" i="66"/>
  <c r="S150" i="66"/>
  <c r="Q150" i="66"/>
  <c r="AB150" i="66" s="1"/>
  <c r="AA149" i="66"/>
  <c r="Z149" i="66"/>
  <c r="Y149" i="66"/>
  <c r="X149" i="66"/>
  <c r="W149" i="66"/>
  <c r="V149" i="66"/>
  <c r="U149" i="66"/>
  <c r="T149" i="66"/>
  <c r="S149" i="66"/>
  <c r="Q149" i="66"/>
  <c r="AB149" i="66" s="1"/>
  <c r="AA148" i="66"/>
  <c r="Z148" i="66"/>
  <c r="Y148" i="66"/>
  <c r="X148" i="66"/>
  <c r="W148" i="66"/>
  <c r="V148" i="66"/>
  <c r="U148" i="66"/>
  <c r="T148" i="66"/>
  <c r="S148" i="66"/>
  <c r="Q148" i="66"/>
  <c r="AB148" i="66" s="1"/>
  <c r="AA147" i="66"/>
  <c r="Z147" i="66"/>
  <c r="Y147" i="66"/>
  <c r="X147" i="66"/>
  <c r="W147" i="66"/>
  <c r="V147" i="66"/>
  <c r="U147" i="66"/>
  <c r="T147" i="66"/>
  <c r="S147" i="66"/>
  <c r="Q147" i="66"/>
  <c r="AB147" i="66" s="1"/>
  <c r="AA146" i="66"/>
  <c r="Z146" i="66"/>
  <c r="Y146" i="66"/>
  <c r="X146" i="66"/>
  <c r="W146" i="66"/>
  <c r="V146" i="66"/>
  <c r="U146" i="66"/>
  <c r="T146" i="66"/>
  <c r="S146" i="66"/>
  <c r="Q146" i="66"/>
  <c r="AB146" i="66" s="1"/>
  <c r="AA145" i="66"/>
  <c r="Z145" i="66"/>
  <c r="Y145" i="66"/>
  <c r="X145" i="66"/>
  <c r="W145" i="66"/>
  <c r="V145" i="66"/>
  <c r="U145" i="66"/>
  <c r="T145" i="66"/>
  <c r="S145" i="66"/>
  <c r="Q145" i="66"/>
  <c r="AB145" i="66" s="1"/>
  <c r="AA144" i="66"/>
  <c r="Z144" i="66"/>
  <c r="Y144" i="66"/>
  <c r="X144" i="66"/>
  <c r="W144" i="66"/>
  <c r="V144" i="66"/>
  <c r="U144" i="66"/>
  <c r="T144" i="66"/>
  <c r="S144" i="66"/>
  <c r="Q144" i="66"/>
  <c r="AB144" i="66" s="1"/>
  <c r="AA143" i="66"/>
  <c r="Z143" i="66"/>
  <c r="Y143" i="66"/>
  <c r="X143" i="66"/>
  <c r="W143" i="66"/>
  <c r="V143" i="66"/>
  <c r="U143" i="66"/>
  <c r="T143" i="66"/>
  <c r="S143" i="66"/>
  <c r="Q143" i="66"/>
  <c r="AB143" i="66" s="1"/>
  <c r="AA142" i="66"/>
  <c r="Z142" i="66"/>
  <c r="Y142" i="66"/>
  <c r="X142" i="66"/>
  <c r="W142" i="66"/>
  <c r="V142" i="66"/>
  <c r="U142" i="66"/>
  <c r="T142" i="66"/>
  <c r="S142" i="66"/>
  <c r="Q142" i="66"/>
  <c r="AB142" i="66" s="1"/>
  <c r="AA141" i="66"/>
  <c r="Z141" i="66"/>
  <c r="Y141" i="66"/>
  <c r="X141" i="66"/>
  <c r="W141" i="66"/>
  <c r="V141" i="66"/>
  <c r="U141" i="66"/>
  <c r="T141" i="66"/>
  <c r="S141" i="66"/>
  <c r="Q141" i="66"/>
  <c r="AB141" i="66" s="1"/>
  <c r="AA140" i="66"/>
  <c r="Z140" i="66"/>
  <c r="Y140" i="66"/>
  <c r="X140" i="66"/>
  <c r="W140" i="66"/>
  <c r="V140" i="66"/>
  <c r="U140" i="66"/>
  <c r="T140" i="66"/>
  <c r="S140" i="66"/>
  <c r="Q140" i="66"/>
  <c r="AB140" i="66" s="1"/>
  <c r="AA139" i="66"/>
  <c r="Z139" i="66"/>
  <c r="Y139" i="66"/>
  <c r="X139" i="66"/>
  <c r="W139" i="66"/>
  <c r="V139" i="66"/>
  <c r="U139" i="66"/>
  <c r="T139" i="66"/>
  <c r="S139" i="66"/>
  <c r="Q139" i="66"/>
  <c r="AB139" i="66" s="1"/>
  <c r="AA138" i="66"/>
  <c r="Z138" i="66"/>
  <c r="Y138" i="66"/>
  <c r="X138" i="66"/>
  <c r="W138" i="66"/>
  <c r="V138" i="66"/>
  <c r="U138" i="66"/>
  <c r="T138" i="66"/>
  <c r="S138" i="66"/>
  <c r="Q138" i="66"/>
  <c r="AB138" i="66" s="1"/>
  <c r="AA137" i="66"/>
  <c r="Z137" i="66"/>
  <c r="Y137" i="66"/>
  <c r="X137" i="66"/>
  <c r="W137" i="66"/>
  <c r="V137" i="66"/>
  <c r="U137" i="66"/>
  <c r="T137" i="66"/>
  <c r="S137" i="66"/>
  <c r="Q137" i="66"/>
  <c r="AB137" i="66" s="1"/>
  <c r="AA136" i="66"/>
  <c r="Z136" i="66"/>
  <c r="Y136" i="66"/>
  <c r="X136" i="66"/>
  <c r="W136" i="66"/>
  <c r="V136" i="66"/>
  <c r="U136" i="66"/>
  <c r="T136" i="66"/>
  <c r="S136" i="66"/>
  <c r="Q136" i="66"/>
  <c r="AB136" i="66" s="1"/>
  <c r="AA135" i="66"/>
  <c r="Z135" i="66"/>
  <c r="Y135" i="66"/>
  <c r="X135" i="66"/>
  <c r="W135" i="66"/>
  <c r="V135" i="66"/>
  <c r="U135" i="66"/>
  <c r="T135" i="66"/>
  <c r="S135" i="66"/>
  <c r="Q135" i="66"/>
  <c r="AB135" i="66" s="1"/>
  <c r="AA134" i="66"/>
  <c r="Z134" i="66"/>
  <c r="Y134" i="66"/>
  <c r="X134" i="66"/>
  <c r="W134" i="66"/>
  <c r="V134" i="66"/>
  <c r="U134" i="66"/>
  <c r="T134" i="66"/>
  <c r="S134" i="66"/>
  <c r="Q134" i="66"/>
  <c r="AB134" i="66" s="1"/>
  <c r="AA133" i="66"/>
  <c r="Z133" i="66"/>
  <c r="Y133" i="66"/>
  <c r="X133" i="66"/>
  <c r="W133" i="66"/>
  <c r="V133" i="66"/>
  <c r="U133" i="66"/>
  <c r="T133" i="66"/>
  <c r="S133" i="66"/>
  <c r="Q133" i="66"/>
  <c r="AB133" i="66" s="1"/>
  <c r="AA132" i="66"/>
  <c r="Z132" i="66"/>
  <c r="Y132" i="66"/>
  <c r="X132" i="66"/>
  <c r="W132" i="66"/>
  <c r="V132" i="66"/>
  <c r="U132" i="66"/>
  <c r="T132" i="66"/>
  <c r="S132" i="66"/>
  <c r="Q132" i="66"/>
  <c r="AB132" i="66" s="1"/>
  <c r="AA131" i="66"/>
  <c r="Z131" i="66"/>
  <c r="Y131" i="66"/>
  <c r="X131" i="66"/>
  <c r="W131" i="66"/>
  <c r="V131" i="66"/>
  <c r="U131" i="66"/>
  <c r="T131" i="66"/>
  <c r="S131" i="66"/>
  <c r="Q131" i="66"/>
  <c r="AB131" i="66" s="1"/>
  <c r="AA130" i="66"/>
  <c r="Z130" i="66"/>
  <c r="Y130" i="66"/>
  <c r="X130" i="66"/>
  <c r="W130" i="66"/>
  <c r="V130" i="66"/>
  <c r="U130" i="66"/>
  <c r="T130" i="66"/>
  <c r="S130" i="66"/>
  <c r="Q130" i="66"/>
  <c r="AB130" i="66" s="1"/>
  <c r="AA129" i="66"/>
  <c r="Z129" i="66"/>
  <c r="Y129" i="66"/>
  <c r="X129" i="66"/>
  <c r="W129" i="66"/>
  <c r="V129" i="66"/>
  <c r="U129" i="66"/>
  <c r="T129" i="66"/>
  <c r="S129" i="66"/>
  <c r="Q129" i="66"/>
  <c r="AB129" i="66" s="1"/>
  <c r="AA128" i="66"/>
  <c r="Z128" i="66"/>
  <c r="Y128" i="66"/>
  <c r="X128" i="66"/>
  <c r="W128" i="66"/>
  <c r="V128" i="66"/>
  <c r="U128" i="66"/>
  <c r="T128" i="66"/>
  <c r="S128" i="66"/>
  <c r="Q128" i="66"/>
  <c r="AB128" i="66" s="1"/>
  <c r="AA127" i="66"/>
  <c r="Z127" i="66"/>
  <c r="Y127" i="66"/>
  <c r="X127" i="66"/>
  <c r="W127" i="66"/>
  <c r="V127" i="66"/>
  <c r="U127" i="66"/>
  <c r="T127" i="66"/>
  <c r="S127" i="66"/>
  <c r="Q127" i="66"/>
  <c r="AB127" i="66" s="1"/>
  <c r="AA126" i="66"/>
  <c r="Z126" i="66"/>
  <c r="Y126" i="66"/>
  <c r="X126" i="66"/>
  <c r="W126" i="66"/>
  <c r="V126" i="66"/>
  <c r="U126" i="66"/>
  <c r="T126" i="66"/>
  <c r="S126" i="66"/>
  <c r="Q126" i="66"/>
  <c r="AB126" i="66" s="1"/>
  <c r="AA125" i="66"/>
  <c r="Z125" i="66"/>
  <c r="Y125" i="66"/>
  <c r="X125" i="66"/>
  <c r="W125" i="66"/>
  <c r="V125" i="66"/>
  <c r="U125" i="66"/>
  <c r="T125" i="66"/>
  <c r="S125" i="66"/>
  <c r="Q125" i="66"/>
  <c r="AB125" i="66" s="1"/>
  <c r="AA124" i="66"/>
  <c r="Z124" i="66"/>
  <c r="Y124" i="66"/>
  <c r="X124" i="66"/>
  <c r="W124" i="66"/>
  <c r="V124" i="66"/>
  <c r="U124" i="66"/>
  <c r="T124" i="66"/>
  <c r="S124" i="66"/>
  <c r="Q124" i="66"/>
  <c r="AB124" i="66" s="1"/>
  <c r="AA123" i="66"/>
  <c r="Z123" i="66"/>
  <c r="Y123" i="66"/>
  <c r="X123" i="66"/>
  <c r="W123" i="66"/>
  <c r="V123" i="66"/>
  <c r="U123" i="66"/>
  <c r="T123" i="66"/>
  <c r="S123" i="66"/>
  <c r="Q123" i="66"/>
  <c r="AB123" i="66" s="1"/>
  <c r="AA122" i="66"/>
  <c r="Z122" i="66"/>
  <c r="Y122" i="66"/>
  <c r="X122" i="66"/>
  <c r="W122" i="66"/>
  <c r="V122" i="66"/>
  <c r="U122" i="66"/>
  <c r="T122" i="66"/>
  <c r="S122" i="66"/>
  <c r="Q122" i="66"/>
  <c r="AB122" i="66" s="1"/>
  <c r="AA121" i="66"/>
  <c r="Z121" i="66"/>
  <c r="Y121" i="66"/>
  <c r="X121" i="66"/>
  <c r="W121" i="66"/>
  <c r="V121" i="66"/>
  <c r="U121" i="66"/>
  <c r="T121" i="66"/>
  <c r="S121" i="66"/>
  <c r="Q121" i="66"/>
  <c r="AB121" i="66" s="1"/>
  <c r="AA120" i="66"/>
  <c r="Z120" i="66"/>
  <c r="Y120" i="66"/>
  <c r="X120" i="66"/>
  <c r="W120" i="66"/>
  <c r="V120" i="66"/>
  <c r="U120" i="66"/>
  <c r="T120" i="66"/>
  <c r="S120" i="66"/>
  <c r="Q120" i="66"/>
  <c r="AB120" i="66" s="1"/>
  <c r="AA119" i="66"/>
  <c r="Z119" i="66"/>
  <c r="Y119" i="66"/>
  <c r="X119" i="66"/>
  <c r="W119" i="66"/>
  <c r="V119" i="66"/>
  <c r="U119" i="66"/>
  <c r="T119" i="66"/>
  <c r="S119" i="66"/>
  <c r="Q119" i="66"/>
  <c r="AB119" i="66" s="1"/>
  <c r="AA118" i="66"/>
  <c r="Z118" i="66"/>
  <c r="Y118" i="66"/>
  <c r="X118" i="66"/>
  <c r="W118" i="66"/>
  <c r="V118" i="66"/>
  <c r="U118" i="66"/>
  <c r="T118" i="66"/>
  <c r="S118" i="66"/>
  <c r="Q118" i="66"/>
  <c r="AB118" i="66" s="1"/>
  <c r="AA117" i="66"/>
  <c r="Z117" i="66"/>
  <c r="Y117" i="66"/>
  <c r="X117" i="66"/>
  <c r="W117" i="66"/>
  <c r="V117" i="66"/>
  <c r="U117" i="66"/>
  <c r="T117" i="66"/>
  <c r="S117" i="66"/>
  <c r="Q117" i="66"/>
  <c r="AB117" i="66" s="1"/>
  <c r="AA116" i="66"/>
  <c r="Z116" i="66"/>
  <c r="Y116" i="66"/>
  <c r="X116" i="66"/>
  <c r="W116" i="66"/>
  <c r="V116" i="66"/>
  <c r="U116" i="66"/>
  <c r="T116" i="66"/>
  <c r="S116" i="66"/>
  <c r="Q116" i="66"/>
  <c r="AB116" i="66" s="1"/>
  <c r="AA115" i="66"/>
  <c r="Z115" i="66"/>
  <c r="Y115" i="66"/>
  <c r="X115" i="66"/>
  <c r="W115" i="66"/>
  <c r="V115" i="66"/>
  <c r="U115" i="66"/>
  <c r="T115" i="66"/>
  <c r="S115" i="66"/>
  <c r="Q115" i="66"/>
  <c r="AB115" i="66" s="1"/>
  <c r="AA114" i="66"/>
  <c r="Z114" i="66"/>
  <c r="Y114" i="66"/>
  <c r="X114" i="66"/>
  <c r="W114" i="66"/>
  <c r="V114" i="66"/>
  <c r="U114" i="66"/>
  <c r="T114" i="66"/>
  <c r="S114" i="66"/>
  <c r="Q114" i="66"/>
  <c r="AB114" i="66" s="1"/>
  <c r="AA113" i="66"/>
  <c r="Z113" i="66"/>
  <c r="Y113" i="66"/>
  <c r="X113" i="66"/>
  <c r="W113" i="66"/>
  <c r="V113" i="66"/>
  <c r="U113" i="66"/>
  <c r="T113" i="66"/>
  <c r="S113" i="66"/>
  <c r="Q113" i="66"/>
  <c r="AB113" i="66" s="1"/>
  <c r="AA112" i="66"/>
  <c r="Z112" i="66"/>
  <c r="Y112" i="66"/>
  <c r="X112" i="66"/>
  <c r="W112" i="66"/>
  <c r="V112" i="66"/>
  <c r="U112" i="66"/>
  <c r="T112" i="66"/>
  <c r="S112" i="66"/>
  <c r="Q112" i="66"/>
  <c r="AB112" i="66" s="1"/>
  <c r="AA111" i="66"/>
  <c r="Z111" i="66"/>
  <c r="Y111" i="66"/>
  <c r="X111" i="66"/>
  <c r="W111" i="66"/>
  <c r="V111" i="66"/>
  <c r="U111" i="66"/>
  <c r="T111" i="66"/>
  <c r="S111" i="66"/>
  <c r="Q111" i="66"/>
  <c r="AB111" i="66" s="1"/>
  <c r="AA110" i="66"/>
  <c r="Z110" i="66"/>
  <c r="Y110" i="66"/>
  <c r="X110" i="66"/>
  <c r="W110" i="66"/>
  <c r="V110" i="66"/>
  <c r="U110" i="66"/>
  <c r="T110" i="66"/>
  <c r="S110" i="66"/>
  <c r="Q110" i="66"/>
  <c r="AB110" i="66" s="1"/>
  <c r="AA109" i="66"/>
  <c r="Z109" i="66"/>
  <c r="Y109" i="66"/>
  <c r="X109" i="66"/>
  <c r="W109" i="66"/>
  <c r="V109" i="66"/>
  <c r="U109" i="66"/>
  <c r="T109" i="66"/>
  <c r="S109" i="66"/>
  <c r="Q109" i="66"/>
  <c r="AB109" i="66" s="1"/>
  <c r="AA108" i="66"/>
  <c r="Z108" i="66"/>
  <c r="Y108" i="66"/>
  <c r="X108" i="66"/>
  <c r="W108" i="66"/>
  <c r="V108" i="66"/>
  <c r="U108" i="66"/>
  <c r="T108" i="66"/>
  <c r="S108" i="66"/>
  <c r="Q108" i="66"/>
  <c r="AB108" i="66" s="1"/>
  <c r="AA107" i="66"/>
  <c r="Z107" i="66"/>
  <c r="Y107" i="66"/>
  <c r="X107" i="66"/>
  <c r="W107" i="66"/>
  <c r="V107" i="66"/>
  <c r="U107" i="66"/>
  <c r="T107" i="66"/>
  <c r="S107" i="66"/>
  <c r="Q107" i="66"/>
  <c r="AB107" i="66" s="1"/>
  <c r="AA106" i="66"/>
  <c r="Z106" i="66"/>
  <c r="Y106" i="66"/>
  <c r="X106" i="66"/>
  <c r="W106" i="66"/>
  <c r="V106" i="66"/>
  <c r="U106" i="66"/>
  <c r="T106" i="66"/>
  <c r="S106" i="66"/>
  <c r="Q106" i="66"/>
  <c r="AB106" i="66" s="1"/>
  <c r="AA105" i="66"/>
  <c r="Z105" i="66"/>
  <c r="Y105" i="66"/>
  <c r="X105" i="66"/>
  <c r="W105" i="66"/>
  <c r="V105" i="66"/>
  <c r="U105" i="66"/>
  <c r="T105" i="66"/>
  <c r="S105" i="66"/>
  <c r="Q105" i="66"/>
  <c r="AB105" i="66" s="1"/>
  <c r="AA104" i="66"/>
  <c r="Z104" i="66"/>
  <c r="Y104" i="66"/>
  <c r="X104" i="66"/>
  <c r="W104" i="66"/>
  <c r="V104" i="66"/>
  <c r="U104" i="66"/>
  <c r="T104" i="66"/>
  <c r="S104" i="66"/>
  <c r="Q104" i="66"/>
  <c r="AB104" i="66" s="1"/>
  <c r="AA103" i="66"/>
  <c r="Z103" i="66"/>
  <c r="Y103" i="66"/>
  <c r="X103" i="66"/>
  <c r="W103" i="66"/>
  <c r="V103" i="66"/>
  <c r="U103" i="66"/>
  <c r="T103" i="66"/>
  <c r="S103" i="66"/>
  <c r="Q103" i="66"/>
  <c r="AB103" i="66" s="1"/>
  <c r="AA102" i="66"/>
  <c r="Z102" i="66"/>
  <c r="Y102" i="66"/>
  <c r="X102" i="66"/>
  <c r="W102" i="66"/>
  <c r="V102" i="66"/>
  <c r="U102" i="66"/>
  <c r="T102" i="66"/>
  <c r="S102" i="66"/>
  <c r="Q102" i="66"/>
  <c r="AB102" i="66" s="1"/>
  <c r="AA101" i="66"/>
  <c r="Z101" i="66"/>
  <c r="Y101" i="66"/>
  <c r="X101" i="66"/>
  <c r="W101" i="66"/>
  <c r="V101" i="66"/>
  <c r="U101" i="66"/>
  <c r="T101" i="66"/>
  <c r="S101" i="66"/>
  <c r="Q101" i="66"/>
  <c r="AB101" i="66" s="1"/>
  <c r="AA100" i="66"/>
  <c r="Z100" i="66"/>
  <c r="Y100" i="66"/>
  <c r="X100" i="66"/>
  <c r="W100" i="66"/>
  <c r="V100" i="66"/>
  <c r="U100" i="66"/>
  <c r="T100" i="66"/>
  <c r="S100" i="66"/>
  <c r="Q100" i="66"/>
  <c r="AB100" i="66" s="1"/>
  <c r="AA99" i="66"/>
  <c r="Z99" i="66"/>
  <c r="Y99" i="66"/>
  <c r="X99" i="66"/>
  <c r="W99" i="66"/>
  <c r="V99" i="66"/>
  <c r="U99" i="66"/>
  <c r="T99" i="66"/>
  <c r="S99" i="66"/>
  <c r="Q99" i="66"/>
  <c r="AB99" i="66" s="1"/>
  <c r="AA98" i="66"/>
  <c r="Z98" i="66"/>
  <c r="Y98" i="66"/>
  <c r="X98" i="66"/>
  <c r="W98" i="66"/>
  <c r="V98" i="66"/>
  <c r="U98" i="66"/>
  <c r="T98" i="66"/>
  <c r="S98" i="66"/>
  <c r="Q98" i="66"/>
  <c r="AB98" i="66" s="1"/>
  <c r="AA97" i="66"/>
  <c r="Z97" i="66"/>
  <c r="Y97" i="66"/>
  <c r="X97" i="66"/>
  <c r="W97" i="66"/>
  <c r="V97" i="66"/>
  <c r="U97" i="66"/>
  <c r="T97" i="66"/>
  <c r="S97" i="66"/>
  <c r="Q97" i="66"/>
  <c r="AB97" i="66" s="1"/>
  <c r="AA96" i="66"/>
  <c r="Z96" i="66"/>
  <c r="Y96" i="66"/>
  <c r="X96" i="66"/>
  <c r="W96" i="66"/>
  <c r="V96" i="66"/>
  <c r="U96" i="66"/>
  <c r="T96" i="66"/>
  <c r="S96" i="66"/>
  <c r="Q96" i="66"/>
  <c r="AB96" i="66" s="1"/>
  <c r="AA95" i="66"/>
  <c r="Z95" i="66"/>
  <c r="Y95" i="66"/>
  <c r="X95" i="66"/>
  <c r="W95" i="66"/>
  <c r="V95" i="66"/>
  <c r="U95" i="66"/>
  <c r="T95" i="66"/>
  <c r="S95" i="66"/>
  <c r="Q95" i="66"/>
  <c r="AB95" i="66" s="1"/>
  <c r="AA94" i="66"/>
  <c r="Z94" i="66"/>
  <c r="Y94" i="66"/>
  <c r="X94" i="66"/>
  <c r="W94" i="66"/>
  <c r="V94" i="66"/>
  <c r="U94" i="66"/>
  <c r="T94" i="66"/>
  <c r="S94" i="66"/>
  <c r="Q94" i="66"/>
  <c r="AB94" i="66" s="1"/>
  <c r="AA93" i="66"/>
  <c r="Z93" i="66"/>
  <c r="Y93" i="66"/>
  <c r="X93" i="66"/>
  <c r="W93" i="66"/>
  <c r="V93" i="66"/>
  <c r="U93" i="66"/>
  <c r="T93" i="66"/>
  <c r="S93" i="66"/>
  <c r="Q93" i="66"/>
  <c r="AB93" i="66" s="1"/>
  <c r="AA92" i="66"/>
  <c r="Z92" i="66"/>
  <c r="Y92" i="66"/>
  <c r="X92" i="66"/>
  <c r="W92" i="66"/>
  <c r="V92" i="66"/>
  <c r="U92" i="66"/>
  <c r="T92" i="66"/>
  <c r="S92" i="66"/>
  <c r="Q92" i="66"/>
  <c r="AB92" i="66" s="1"/>
  <c r="AA91" i="66"/>
  <c r="Z91" i="66"/>
  <c r="Y91" i="66"/>
  <c r="X91" i="66"/>
  <c r="W91" i="66"/>
  <c r="V91" i="66"/>
  <c r="U91" i="66"/>
  <c r="T91" i="66"/>
  <c r="S91" i="66"/>
  <c r="Q91" i="66"/>
  <c r="AB91" i="66" s="1"/>
  <c r="AA90" i="66"/>
  <c r="Z90" i="66"/>
  <c r="Y90" i="66"/>
  <c r="X90" i="66"/>
  <c r="W90" i="66"/>
  <c r="V90" i="66"/>
  <c r="U90" i="66"/>
  <c r="T90" i="66"/>
  <c r="S90" i="66"/>
  <c r="Q90" i="66"/>
  <c r="AB90" i="66" s="1"/>
  <c r="AA89" i="66"/>
  <c r="Z89" i="66"/>
  <c r="Y89" i="66"/>
  <c r="X89" i="66"/>
  <c r="W89" i="66"/>
  <c r="V89" i="66"/>
  <c r="U89" i="66"/>
  <c r="T89" i="66"/>
  <c r="S89" i="66"/>
  <c r="Q89" i="66"/>
  <c r="AB89" i="66" s="1"/>
  <c r="AA88" i="66"/>
  <c r="Z88" i="66"/>
  <c r="Y88" i="66"/>
  <c r="X88" i="66"/>
  <c r="W88" i="66"/>
  <c r="V88" i="66"/>
  <c r="U88" i="66"/>
  <c r="T88" i="66"/>
  <c r="S88" i="66"/>
  <c r="Q88" i="66"/>
  <c r="AB88" i="66" s="1"/>
  <c r="AA87" i="66"/>
  <c r="Z87" i="66"/>
  <c r="Y87" i="66"/>
  <c r="X87" i="66"/>
  <c r="W87" i="66"/>
  <c r="V87" i="66"/>
  <c r="U87" i="66"/>
  <c r="T87" i="66"/>
  <c r="S87" i="66"/>
  <c r="Q87" i="66"/>
  <c r="AB87" i="66" s="1"/>
  <c r="AA86" i="66"/>
  <c r="Z86" i="66"/>
  <c r="Y86" i="66"/>
  <c r="X86" i="66"/>
  <c r="W86" i="66"/>
  <c r="V86" i="66"/>
  <c r="U86" i="66"/>
  <c r="T86" i="66"/>
  <c r="S86" i="66"/>
  <c r="Q86" i="66"/>
  <c r="AB86" i="66" s="1"/>
  <c r="AA85" i="66"/>
  <c r="Z85" i="66"/>
  <c r="Y85" i="66"/>
  <c r="X85" i="66"/>
  <c r="W85" i="66"/>
  <c r="V85" i="66"/>
  <c r="U85" i="66"/>
  <c r="T85" i="66"/>
  <c r="S85" i="66"/>
  <c r="Q85" i="66"/>
  <c r="AB85" i="66" s="1"/>
  <c r="AA84" i="66"/>
  <c r="Z84" i="66"/>
  <c r="Y84" i="66"/>
  <c r="X84" i="66"/>
  <c r="W84" i="66"/>
  <c r="V84" i="66"/>
  <c r="U84" i="66"/>
  <c r="T84" i="66"/>
  <c r="S84" i="66"/>
  <c r="Q84" i="66"/>
  <c r="AB84" i="66" s="1"/>
  <c r="AA83" i="66"/>
  <c r="Z83" i="66"/>
  <c r="Y83" i="66"/>
  <c r="X83" i="66"/>
  <c r="W83" i="66"/>
  <c r="V83" i="66"/>
  <c r="U83" i="66"/>
  <c r="T83" i="66"/>
  <c r="S83" i="66"/>
  <c r="Q83" i="66"/>
  <c r="AB83" i="66" s="1"/>
  <c r="AA82" i="66"/>
  <c r="Z82" i="66"/>
  <c r="Y82" i="66"/>
  <c r="X82" i="66"/>
  <c r="W82" i="66"/>
  <c r="V82" i="66"/>
  <c r="U82" i="66"/>
  <c r="T82" i="66"/>
  <c r="S82" i="66"/>
  <c r="Q82" i="66"/>
  <c r="AB82" i="66" s="1"/>
  <c r="AA81" i="66"/>
  <c r="Z81" i="66"/>
  <c r="Y81" i="66"/>
  <c r="X81" i="66"/>
  <c r="W81" i="66"/>
  <c r="V81" i="66"/>
  <c r="U81" i="66"/>
  <c r="T81" i="66"/>
  <c r="S81" i="66"/>
  <c r="Q81" i="66"/>
  <c r="AB81" i="66" s="1"/>
  <c r="AA80" i="66"/>
  <c r="Z80" i="66"/>
  <c r="Y80" i="66"/>
  <c r="X80" i="66"/>
  <c r="W80" i="66"/>
  <c r="V80" i="66"/>
  <c r="U80" i="66"/>
  <c r="T80" i="66"/>
  <c r="S80" i="66"/>
  <c r="Q80" i="66"/>
  <c r="AB80" i="66" s="1"/>
  <c r="AA79" i="66"/>
  <c r="Z79" i="66"/>
  <c r="Y79" i="66"/>
  <c r="X79" i="66"/>
  <c r="W79" i="66"/>
  <c r="V79" i="66"/>
  <c r="U79" i="66"/>
  <c r="T79" i="66"/>
  <c r="S79" i="66"/>
  <c r="Q79" i="66"/>
  <c r="AB79" i="66" s="1"/>
  <c r="AA78" i="66"/>
  <c r="Z78" i="66"/>
  <c r="Y78" i="66"/>
  <c r="X78" i="66"/>
  <c r="W78" i="66"/>
  <c r="V78" i="66"/>
  <c r="U78" i="66"/>
  <c r="T78" i="66"/>
  <c r="S78" i="66"/>
  <c r="Q78" i="66"/>
  <c r="AB78" i="66" s="1"/>
  <c r="AA77" i="66"/>
  <c r="Z77" i="66"/>
  <c r="Y77" i="66"/>
  <c r="X77" i="66"/>
  <c r="W77" i="66"/>
  <c r="V77" i="66"/>
  <c r="U77" i="66"/>
  <c r="T77" i="66"/>
  <c r="S77" i="66"/>
  <c r="Q77" i="66"/>
  <c r="AB77" i="66" s="1"/>
  <c r="AA76" i="66"/>
  <c r="Z76" i="66"/>
  <c r="Y76" i="66"/>
  <c r="X76" i="66"/>
  <c r="W76" i="66"/>
  <c r="V76" i="66"/>
  <c r="U76" i="66"/>
  <c r="T76" i="66"/>
  <c r="S76" i="66"/>
  <c r="Q76" i="66"/>
  <c r="AB76" i="66" s="1"/>
  <c r="AA75" i="66"/>
  <c r="Z75" i="66"/>
  <c r="Y75" i="66"/>
  <c r="X75" i="66"/>
  <c r="W75" i="66"/>
  <c r="V75" i="66"/>
  <c r="U75" i="66"/>
  <c r="T75" i="66"/>
  <c r="S75" i="66"/>
  <c r="Q75" i="66"/>
  <c r="AB75" i="66" s="1"/>
  <c r="AA74" i="66"/>
  <c r="Z74" i="66"/>
  <c r="Y74" i="66"/>
  <c r="X74" i="66"/>
  <c r="W74" i="66"/>
  <c r="V74" i="66"/>
  <c r="U74" i="66"/>
  <c r="T74" i="66"/>
  <c r="S74" i="66"/>
  <c r="Q74" i="66"/>
  <c r="AB74" i="66" s="1"/>
  <c r="AA73" i="66"/>
  <c r="Z73" i="66"/>
  <c r="Y73" i="66"/>
  <c r="X73" i="66"/>
  <c r="W73" i="66"/>
  <c r="V73" i="66"/>
  <c r="U73" i="66"/>
  <c r="T73" i="66"/>
  <c r="S73" i="66"/>
  <c r="Q73" i="66"/>
  <c r="AB73" i="66" s="1"/>
  <c r="AA72" i="66"/>
  <c r="Z72" i="66"/>
  <c r="Y72" i="66"/>
  <c r="X72" i="66"/>
  <c r="W72" i="66"/>
  <c r="V72" i="66"/>
  <c r="U72" i="66"/>
  <c r="T72" i="66"/>
  <c r="S72" i="66"/>
  <c r="Q72" i="66"/>
  <c r="AB72" i="66" s="1"/>
  <c r="P70" i="66"/>
  <c r="O70" i="66"/>
  <c r="O220" i="66" s="1"/>
  <c r="N70" i="66"/>
  <c r="N220" i="66" s="1"/>
  <c r="K70" i="66"/>
  <c r="K220" i="66" s="1"/>
  <c r="H70" i="66"/>
  <c r="AA69" i="66"/>
  <c r="Z69" i="66"/>
  <c r="Y69" i="66"/>
  <c r="X69" i="66"/>
  <c r="W69" i="66"/>
  <c r="V69" i="66"/>
  <c r="U69" i="66"/>
  <c r="T69" i="66"/>
  <c r="S69" i="66"/>
  <c r="Q69" i="66"/>
  <c r="AB69" i="66" s="1"/>
  <c r="AA68" i="66"/>
  <c r="Z68" i="66"/>
  <c r="Y68" i="66"/>
  <c r="X68" i="66"/>
  <c r="W68" i="66"/>
  <c r="V68" i="66"/>
  <c r="U68" i="66"/>
  <c r="T68" i="66"/>
  <c r="S68" i="66"/>
  <c r="Q68" i="66"/>
  <c r="AB68" i="66" s="1"/>
  <c r="AA67" i="66"/>
  <c r="Z67" i="66"/>
  <c r="Y67" i="66"/>
  <c r="X67" i="66"/>
  <c r="W67" i="66"/>
  <c r="V67" i="66"/>
  <c r="U67" i="66"/>
  <c r="T67" i="66"/>
  <c r="S67" i="66"/>
  <c r="Q67" i="66"/>
  <c r="AB67" i="66" s="1"/>
  <c r="AA66" i="66"/>
  <c r="Z66" i="66"/>
  <c r="Y66" i="66"/>
  <c r="X66" i="66"/>
  <c r="W66" i="66"/>
  <c r="V66" i="66"/>
  <c r="U66" i="66"/>
  <c r="T66" i="66"/>
  <c r="S66" i="66"/>
  <c r="Q66" i="66"/>
  <c r="AB66" i="66" s="1"/>
  <c r="AA65" i="66"/>
  <c r="Z65" i="66"/>
  <c r="Y65" i="66"/>
  <c r="X65" i="66"/>
  <c r="W65" i="66"/>
  <c r="V65" i="66"/>
  <c r="U65" i="66"/>
  <c r="T65" i="66"/>
  <c r="S65" i="66"/>
  <c r="Q65" i="66"/>
  <c r="AB65" i="66" s="1"/>
  <c r="AA64" i="66"/>
  <c r="Z64" i="66"/>
  <c r="Y64" i="66"/>
  <c r="X64" i="66"/>
  <c r="W64" i="66"/>
  <c r="V64" i="66"/>
  <c r="U64" i="66"/>
  <c r="T64" i="66"/>
  <c r="S64" i="66"/>
  <c r="Q64" i="66"/>
  <c r="AB64" i="66" s="1"/>
  <c r="AA63" i="66"/>
  <c r="Z63" i="66"/>
  <c r="Y63" i="66"/>
  <c r="X63" i="66"/>
  <c r="W63" i="66"/>
  <c r="V63" i="66"/>
  <c r="U63" i="66"/>
  <c r="T63" i="66"/>
  <c r="S63" i="66"/>
  <c r="Q63" i="66"/>
  <c r="AB63" i="66" s="1"/>
  <c r="AA62" i="66"/>
  <c r="Z62" i="66"/>
  <c r="Y62" i="66"/>
  <c r="X62" i="66"/>
  <c r="W62" i="66"/>
  <c r="V62" i="66"/>
  <c r="U62" i="66"/>
  <c r="T62" i="66"/>
  <c r="S62" i="66"/>
  <c r="Q62" i="66"/>
  <c r="AB62" i="66" s="1"/>
  <c r="AA61" i="66"/>
  <c r="Z61" i="66"/>
  <c r="Y61" i="66"/>
  <c r="X61" i="66"/>
  <c r="W61" i="66"/>
  <c r="V61" i="66"/>
  <c r="U61" i="66"/>
  <c r="T61" i="66"/>
  <c r="S61" i="66"/>
  <c r="Q61" i="66"/>
  <c r="AB61" i="66" s="1"/>
  <c r="AA60" i="66"/>
  <c r="Z60" i="66"/>
  <c r="Y60" i="66"/>
  <c r="X60" i="66"/>
  <c r="W60" i="66"/>
  <c r="V60" i="66"/>
  <c r="U60" i="66"/>
  <c r="T60" i="66"/>
  <c r="S60" i="66"/>
  <c r="Q60" i="66"/>
  <c r="AB60" i="66" s="1"/>
  <c r="AA59" i="66"/>
  <c r="Z59" i="66"/>
  <c r="Y59" i="66"/>
  <c r="X59" i="66"/>
  <c r="W59" i="66"/>
  <c r="V59" i="66"/>
  <c r="U59" i="66"/>
  <c r="T59" i="66"/>
  <c r="S59" i="66"/>
  <c r="Q59" i="66"/>
  <c r="AB59" i="66" s="1"/>
  <c r="AA58" i="66"/>
  <c r="Z58" i="66"/>
  <c r="Y58" i="66"/>
  <c r="X58" i="66"/>
  <c r="W58" i="66"/>
  <c r="V58" i="66"/>
  <c r="U58" i="66"/>
  <c r="T58" i="66"/>
  <c r="S58" i="66"/>
  <c r="Q58" i="66"/>
  <c r="AB58" i="66" s="1"/>
  <c r="AA57" i="66"/>
  <c r="Z57" i="66"/>
  <c r="Y57" i="66"/>
  <c r="X57" i="66"/>
  <c r="W57" i="66"/>
  <c r="V57" i="66"/>
  <c r="U57" i="66"/>
  <c r="T57" i="66"/>
  <c r="S57" i="66"/>
  <c r="Q57" i="66"/>
  <c r="AB57" i="66" s="1"/>
  <c r="AA56" i="66"/>
  <c r="Z56" i="66"/>
  <c r="Y56" i="66"/>
  <c r="X56" i="66"/>
  <c r="W56" i="66"/>
  <c r="V56" i="66"/>
  <c r="U56" i="66"/>
  <c r="T56" i="66"/>
  <c r="S56" i="66"/>
  <c r="Q56" i="66"/>
  <c r="AB56" i="66" s="1"/>
  <c r="AA55" i="66"/>
  <c r="Z55" i="66"/>
  <c r="Y55" i="66"/>
  <c r="X55" i="66"/>
  <c r="W55" i="66"/>
  <c r="V55" i="66"/>
  <c r="U55" i="66"/>
  <c r="T55" i="66"/>
  <c r="S55" i="66"/>
  <c r="Q55" i="66"/>
  <c r="AB55" i="66" s="1"/>
  <c r="AA54" i="66"/>
  <c r="Z54" i="66"/>
  <c r="Y54" i="66"/>
  <c r="X54" i="66"/>
  <c r="W54" i="66"/>
  <c r="V54" i="66"/>
  <c r="U54" i="66"/>
  <c r="T54" i="66"/>
  <c r="S54" i="66"/>
  <c r="Q54" i="66"/>
  <c r="AB54" i="66" s="1"/>
  <c r="AA53" i="66"/>
  <c r="Z53" i="66"/>
  <c r="Y53" i="66"/>
  <c r="X53" i="66"/>
  <c r="W53" i="66"/>
  <c r="V53" i="66"/>
  <c r="U53" i="66"/>
  <c r="T53" i="66"/>
  <c r="S53" i="66"/>
  <c r="Q53" i="66"/>
  <c r="AB53" i="66" s="1"/>
  <c r="AA52" i="66"/>
  <c r="Z52" i="66"/>
  <c r="Y52" i="66"/>
  <c r="X52" i="66"/>
  <c r="W52" i="66"/>
  <c r="V52" i="66"/>
  <c r="U52" i="66"/>
  <c r="T52" i="66"/>
  <c r="S52" i="66"/>
  <c r="Q52" i="66"/>
  <c r="AB52" i="66" s="1"/>
  <c r="AA51" i="66"/>
  <c r="Z51" i="66"/>
  <c r="Y51" i="66"/>
  <c r="X51" i="66"/>
  <c r="W51" i="66"/>
  <c r="V51" i="66"/>
  <c r="U51" i="66"/>
  <c r="T51" i="66"/>
  <c r="S51" i="66"/>
  <c r="Q51" i="66"/>
  <c r="AB51" i="66" s="1"/>
  <c r="AA50" i="66"/>
  <c r="Z50" i="66"/>
  <c r="Y50" i="66"/>
  <c r="X50" i="66"/>
  <c r="W50" i="66"/>
  <c r="V50" i="66"/>
  <c r="U50" i="66"/>
  <c r="T50" i="66"/>
  <c r="S50" i="66"/>
  <c r="Q50" i="66"/>
  <c r="AB50" i="66" s="1"/>
  <c r="AB49" i="66"/>
  <c r="AA49" i="66"/>
  <c r="Z49" i="66"/>
  <c r="Y49" i="66"/>
  <c r="X49" i="66"/>
  <c r="W49" i="66"/>
  <c r="V49" i="66"/>
  <c r="U49" i="66"/>
  <c r="T49" i="66"/>
  <c r="S49" i="66"/>
  <c r="Q49" i="66"/>
  <c r="AA48" i="66"/>
  <c r="Z48" i="66"/>
  <c r="Y48" i="66"/>
  <c r="X48" i="66"/>
  <c r="W48" i="66"/>
  <c r="V48" i="66"/>
  <c r="U48" i="66"/>
  <c r="T48" i="66"/>
  <c r="S48" i="66"/>
  <c r="Q48" i="66"/>
  <c r="AB48" i="66" s="1"/>
  <c r="AA47" i="66"/>
  <c r="Z47" i="66"/>
  <c r="Y47" i="66"/>
  <c r="X47" i="66"/>
  <c r="W47" i="66"/>
  <c r="V47" i="66"/>
  <c r="U47" i="66"/>
  <c r="T47" i="66"/>
  <c r="S47" i="66"/>
  <c r="Q47" i="66"/>
  <c r="AB47" i="66" s="1"/>
  <c r="AB46" i="66"/>
  <c r="AA46" i="66"/>
  <c r="Z46" i="66"/>
  <c r="Y46" i="66"/>
  <c r="X46" i="66"/>
  <c r="W46" i="66"/>
  <c r="V46" i="66"/>
  <c r="U46" i="66"/>
  <c r="T46" i="66"/>
  <c r="S46" i="66"/>
  <c r="Q46" i="66"/>
  <c r="AA45" i="66"/>
  <c r="Z45" i="66"/>
  <c r="Y45" i="66"/>
  <c r="X45" i="66"/>
  <c r="W45" i="66"/>
  <c r="V45" i="66"/>
  <c r="U45" i="66"/>
  <c r="T45" i="66"/>
  <c r="S45" i="66"/>
  <c r="Q45" i="66"/>
  <c r="AB45" i="66" s="1"/>
  <c r="AA44" i="66"/>
  <c r="Z44" i="66"/>
  <c r="Y44" i="66"/>
  <c r="X44" i="66"/>
  <c r="W44" i="66"/>
  <c r="V44" i="66"/>
  <c r="U44" i="66"/>
  <c r="T44" i="66"/>
  <c r="S44" i="66"/>
  <c r="Q44" i="66"/>
  <c r="AB44" i="66" s="1"/>
  <c r="AA43" i="66"/>
  <c r="Z43" i="66"/>
  <c r="Y43" i="66"/>
  <c r="X43" i="66"/>
  <c r="W43" i="66"/>
  <c r="V43" i="66"/>
  <c r="U43" i="66"/>
  <c r="T43" i="66"/>
  <c r="S43" i="66"/>
  <c r="Q43" i="66"/>
  <c r="AB43" i="66" s="1"/>
  <c r="AA42" i="66"/>
  <c r="Z42" i="66"/>
  <c r="Y42" i="66"/>
  <c r="X42" i="66"/>
  <c r="W42" i="66"/>
  <c r="V42" i="66"/>
  <c r="U42" i="66"/>
  <c r="T42" i="66"/>
  <c r="S42" i="66"/>
  <c r="Q42" i="66"/>
  <c r="AB42" i="66" s="1"/>
  <c r="AA41" i="66"/>
  <c r="Z41" i="66"/>
  <c r="Y41" i="66"/>
  <c r="X41" i="66"/>
  <c r="W41" i="66"/>
  <c r="V41" i="66"/>
  <c r="U41" i="66"/>
  <c r="T41" i="66"/>
  <c r="S41" i="66"/>
  <c r="Q41" i="66"/>
  <c r="AB41" i="66" s="1"/>
  <c r="AA40" i="66"/>
  <c r="Z40" i="66"/>
  <c r="Y40" i="66"/>
  <c r="X40" i="66"/>
  <c r="W40" i="66"/>
  <c r="V40" i="66"/>
  <c r="U40" i="66"/>
  <c r="T40" i="66"/>
  <c r="S40" i="66"/>
  <c r="Q40" i="66"/>
  <c r="AB40" i="66" s="1"/>
  <c r="AA39" i="66"/>
  <c r="Z39" i="66"/>
  <c r="Y39" i="66"/>
  <c r="X39" i="66"/>
  <c r="W39" i="66"/>
  <c r="V39" i="66"/>
  <c r="U39" i="66"/>
  <c r="T39" i="66"/>
  <c r="S39" i="66"/>
  <c r="Q39" i="66"/>
  <c r="AB39" i="66" s="1"/>
  <c r="AA38" i="66"/>
  <c r="Z38" i="66"/>
  <c r="Y38" i="66"/>
  <c r="X38" i="66"/>
  <c r="W38" i="66"/>
  <c r="V38" i="66"/>
  <c r="U38" i="66"/>
  <c r="T38" i="66"/>
  <c r="S38" i="66"/>
  <c r="Q38" i="66"/>
  <c r="AB38" i="66" s="1"/>
  <c r="AA37" i="66"/>
  <c r="Z37" i="66"/>
  <c r="Y37" i="66"/>
  <c r="X37" i="66"/>
  <c r="W37" i="66"/>
  <c r="V37" i="66"/>
  <c r="U37" i="66"/>
  <c r="T37" i="66"/>
  <c r="S37" i="66"/>
  <c r="Q37" i="66"/>
  <c r="AB37" i="66" s="1"/>
  <c r="AA36" i="66"/>
  <c r="Z36" i="66"/>
  <c r="Y36" i="66"/>
  <c r="X36" i="66"/>
  <c r="W36" i="66"/>
  <c r="V36" i="66"/>
  <c r="U36" i="66"/>
  <c r="T36" i="66"/>
  <c r="S36" i="66"/>
  <c r="Q36" i="66"/>
  <c r="AB36" i="66" s="1"/>
  <c r="AA35" i="66"/>
  <c r="Z35" i="66"/>
  <c r="Y35" i="66"/>
  <c r="X35" i="66"/>
  <c r="W35" i="66"/>
  <c r="V35" i="66"/>
  <c r="U35" i="66"/>
  <c r="T35" i="66"/>
  <c r="S35" i="66"/>
  <c r="Q35" i="66"/>
  <c r="AB35" i="66" s="1"/>
  <c r="AA34" i="66"/>
  <c r="Z34" i="66"/>
  <c r="Y34" i="66"/>
  <c r="X34" i="66"/>
  <c r="W34" i="66"/>
  <c r="V34" i="66"/>
  <c r="U34" i="66"/>
  <c r="T34" i="66"/>
  <c r="S34" i="66"/>
  <c r="Q34" i="66"/>
  <c r="AB34" i="66" s="1"/>
  <c r="AA33" i="66"/>
  <c r="Z33" i="66"/>
  <c r="Y33" i="66"/>
  <c r="X33" i="66"/>
  <c r="W33" i="66"/>
  <c r="V33" i="66"/>
  <c r="U33" i="66"/>
  <c r="T33" i="66"/>
  <c r="S33" i="66"/>
  <c r="Q33" i="66"/>
  <c r="AB33" i="66" s="1"/>
  <c r="AA32" i="66"/>
  <c r="Z32" i="66"/>
  <c r="Y32" i="66"/>
  <c r="X32" i="66"/>
  <c r="W32" i="66"/>
  <c r="V32" i="66"/>
  <c r="U32" i="66"/>
  <c r="T32" i="66"/>
  <c r="S32" i="66"/>
  <c r="Q32" i="66"/>
  <c r="AB32" i="66" s="1"/>
  <c r="AA31" i="66"/>
  <c r="Z31" i="66"/>
  <c r="Y31" i="66"/>
  <c r="X31" i="66"/>
  <c r="W31" i="66"/>
  <c r="V31" i="66"/>
  <c r="U31" i="66"/>
  <c r="T31" i="66"/>
  <c r="S31" i="66"/>
  <c r="Q31" i="66"/>
  <c r="AB31" i="66" s="1"/>
  <c r="AA30" i="66"/>
  <c r="Z30" i="66"/>
  <c r="Y30" i="66"/>
  <c r="X30" i="66"/>
  <c r="W30" i="66"/>
  <c r="V30" i="66"/>
  <c r="U30" i="66"/>
  <c r="T30" i="66"/>
  <c r="S30" i="66"/>
  <c r="Q30" i="66"/>
  <c r="AB30" i="66" s="1"/>
  <c r="AA29" i="66"/>
  <c r="Z29" i="66"/>
  <c r="Y29" i="66"/>
  <c r="X29" i="66"/>
  <c r="W29" i="66"/>
  <c r="V29" i="66"/>
  <c r="U29" i="66"/>
  <c r="T29" i="66"/>
  <c r="S29" i="66"/>
  <c r="Q29" i="66"/>
  <c r="AB29" i="66" s="1"/>
  <c r="AA28" i="66"/>
  <c r="Z28" i="66"/>
  <c r="Y28" i="66"/>
  <c r="X28" i="66"/>
  <c r="W28" i="66"/>
  <c r="V28" i="66"/>
  <c r="U28" i="66"/>
  <c r="T28" i="66"/>
  <c r="S28" i="66"/>
  <c r="Q28" i="66"/>
  <c r="AB28" i="66" s="1"/>
  <c r="AA27" i="66"/>
  <c r="Z27" i="66"/>
  <c r="Y27" i="66"/>
  <c r="X27" i="66"/>
  <c r="W27" i="66"/>
  <c r="V27" i="66"/>
  <c r="U27" i="66"/>
  <c r="T27" i="66"/>
  <c r="S27" i="66"/>
  <c r="Q27" i="66"/>
  <c r="AB27" i="66" s="1"/>
  <c r="AB26" i="66"/>
  <c r="AA26" i="66"/>
  <c r="Z26" i="66"/>
  <c r="Y26" i="66"/>
  <c r="X26" i="66"/>
  <c r="W26" i="66"/>
  <c r="V26" i="66"/>
  <c r="U26" i="66"/>
  <c r="T26" i="66"/>
  <c r="S26" i="66"/>
  <c r="Q26" i="66"/>
  <c r="AA25" i="66"/>
  <c r="Z25" i="66"/>
  <c r="Y25" i="66"/>
  <c r="X25" i="66"/>
  <c r="W25" i="66"/>
  <c r="V25" i="66"/>
  <c r="U25" i="66"/>
  <c r="T25" i="66"/>
  <c r="S25" i="66"/>
  <c r="Q25" i="66"/>
  <c r="AB25" i="66" s="1"/>
  <c r="AA24" i="66"/>
  <c r="Z24" i="66"/>
  <c r="Y24" i="66"/>
  <c r="X24" i="66"/>
  <c r="W24" i="66"/>
  <c r="V24" i="66"/>
  <c r="U24" i="66"/>
  <c r="T24" i="66"/>
  <c r="S24" i="66"/>
  <c r="Q24" i="66"/>
  <c r="AB24" i="66" s="1"/>
  <c r="AB23" i="66"/>
  <c r="AA23" i="66"/>
  <c r="Z23" i="66"/>
  <c r="Y23" i="66"/>
  <c r="X23" i="66"/>
  <c r="W23" i="66"/>
  <c r="V23" i="66"/>
  <c r="U23" i="66"/>
  <c r="T23" i="66"/>
  <c r="S23" i="66"/>
  <c r="Q23" i="66"/>
  <c r="AA22" i="66"/>
  <c r="Z22" i="66"/>
  <c r="Y22" i="66"/>
  <c r="X22" i="66"/>
  <c r="W22" i="66"/>
  <c r="V22" i="66"/>
  <c r="U22" i="66"/>
  <c r="T22" i="66"/>
  <c r="S22" i="66"/>
  <c r="Q22" i="66"/>
  <c r="AB22" i="66" s="1"/>
  <c r="AA21" i="66"/>
  <c r="Z21" i="66"/>
  <c r="Y21" i="66"/>
  <c r="X21" i="66"/>
  <c r="W21" i="66"/>
  <c r="V21" i="66"/>
  <c r="U21" i="66"/>
  <c r="T21" i="66"/>
  <c r="S21" i="66"/>
  <c r="Q21" i="66"/>
  <c r="AB21" i="66" s="1"/>
  <c r="AA20" i="66"/>
  <c r="Z20" i="66"/>
  <c r="Y20" i="66"/>
  <c r="X20" i="66"/>
  <c r="W20" i="66"/>
  <c r="V20" i="66"/>
  <c r="U20" i="66"/>
  <c r="T20" i="66"/>
  <c r="S20" i="66"/>
  <c r="Q20" i="66"/>
  <c r="AB20" i="66" s="1"/>
  <c r="AA19" i="66"/>
  <c r="Z19" i="66"/>
  <c r="Y19" i="66"/>
  <c r="X19" i="66"/>
  <c r="W19" i="66"/>
  <c r="V19" i="66"/>
  <c r="U19" i="66"/>
  <c r="T19" i="66"/>
  <c r="S19" i="66"/>
  <c r="Q19" i="66"/>
  <c r="AB19" i="66" s="1"/>
  <c r="AA18" i="66"/>
  <c r="Z18" i="66"/>
  <c r="Y18" i="66"/>
  <c r="X18" i="66"/>
  <c r="W18" i="66"/>
  <c r="V18" i="66"/>
  <c r="U18" i="66"/>
  <c r="T18" i="66"/>
  <c r="S18" i="66"/>
  <c r="Q18" i="66"/>
  <c r="AB18" i="66" s="1"/>
  <c r="AA17" i="66"/>
  <c r="Z17" i="66"/>
  <c r="Y17" i="66"/>
  <c r="X17" i="66"/>
  <c r="W17" i="66"/>
  <c r="V17" i="66"/>
  <c r="U17" i="66"/>
  <c r="T17" i="66"/>
  <c r="S17" i="66"/>
  <c r="Q17" i="66"/>
  <c r="AB17" i="66" s="1"/>
  <c r="AA16" i="66"/>
  <c r="Z16" i="66"/>
  <c r="Y16" i="66"/>
  <c r="X16" i="66"/>
  <c r="W16" i="66"/>
  <c r="V16" i="66"/>
  <c r="U16" i="66"/>
  <c r="T16" i="66"/>
  <c r="S16" i="66"/>
  <c r="Q16" i="66"/>
  <c r="AB16" i="66" s="1"/>
  <c r="AA15" i="66"/>
  <c r="Z15" i="66"/>
  <c r="Y15" i="66"/>
  <c r="X15" i="66"/>
  <c r="W15" i="66"/>
  <c r="V15" i="66"/>
  <c r="U15" i="66"/>
  <c r="T15" i="66"/>
  <c r="S15" i="66"/>
  <c r="Q15" i="66"/>
  <c r="AB15" i="66" s="1"/>
  <c r="AA14" i="66"/>
  <c r="Z14" i="66"/>
  <c r="Y14" i="66"/>
  <c r="X14" i="66"/>
  <c r="W14" i="66"/>
  <c r="V14" i="66"/>
  <c r="U14" i="66"/>
  <c r="T14" i="66"/>
  <c r="S14" i="66"/>
  <c r="Q14" i="66"/>
  <c r="AB14" i="66" s="1"/>
  <c r="AA13" i="66"/>
  <c r="Z13" i="66"/>
  <c r="Y13" i="66"/>
  <c r="X13" i="66"/>
  <c r="W13" i="66"/>
  <c r="V13" i="66"/>
  <c r="U13" i="66"/>
  <c r="T13" i="66"/>
  <c r="S13" i="66"/>
  <c r="Q13" i="66"/>
  <c r="AA12" i="66"/>
  <c r="Z12" i="66"/>
  <c r="Y12" i="66"/>
  <c r="X12" i="66"/>
  <c r="W12" i="66"/>
  <c r="V12" i="66"/>
  <c r="U12" i="66"/>
  <c r="T12" i="66"/>
  <c r="S12" i="66"/>
  <c r="Q12" i="66"/>
  <c r="AB12" i="66" s="1"/>
  <c r="AA11" i="66"/>
  <c r="Z11" i="66"/>
  <c r="Y11" i="66"/>
  <c r="X11" i="66"/>
  <c r="W11" i="66"/>
  <c r="V11" i="66"/>
  <c r="U11" i="66"/>
  <c r="T11" i="66"/>
  <c r="S11" i="66"/>
  <c r="Q11" i="66"/>
  <c r="AB11" i="66" s="1"/>
  <c r="AA10" i="66"/>
  <c r="Z10" i="66"/>
  <c r="Y10" i="66"/>
  <c r="X10" i="66"/>
  <c r="W10" i="66"/>
  <c r="V10" i="66"/>
  <c r="U10" i="66"/>
  <c r="T10" i="66"/>
  <c r="S10" i="66"/>
  <c r="Q10" i="66"/>
  <c r="AB10" i="66" s="1"/>
  <c r="AA9" i="66"/>
  <c r="Z9" i="66"/>
  <c r="Y9" i="66"/>
  <c r="X9" i="66"/>
  <c r="W9" i="66"/>
  <c r="V9" i="66"/>
  <c r="U9" i="66"/>
  <c r="T9" i="66"/>
  <c r="S9" i="66"/>
  <c r="Q9" i="66"/>
  <c r="AB9" i="66" s="1"/>
  <c r="AA8" i="66"/>
  <c r="Z8" i="66"/>
  <c r="Y8" i="66"/>
  <c r="X8" i="66"/>
  <c r="W8" i="66"/>
  <c r="V8" i="66"/>
  <c r="U8" i="66"/>
  <c r="T8" i="66"/>
  <c r="S8" i="66"/>
  <c r="Q8" i="66"/>
  <c r="AB8" i="66" s="1"/>
  <c r="AA7" i="66"/>
  <c r="Z7" i="66"/>
  <c r="Y7" i="66"/>
  <c r="X7" i="66"/>
  <c r="W7" i="66"/>
  <c r="V7" i="66"/>
  <c r="U7" i="66"/>
  <c r="T7" i="66"/>
  <c r="S7" i="66"/>
  <c r="Q7" i="66"/>
  <c r="AB7" i="66" s="1"/>
  <c r="H220" i="66" l="1"/>
  <c r="Y70" i="66"/>
  <c r="V218" i="66"/>
  <c r="W218" i="66"/>
  <c r="AA70" i="66"/>
  <c r="X218" i="66"/>
  <c r="Q70" i="66"/>
  <c r="Y218" i="66"/>
  <c r="T70" i="66"/>
  <c r="U70" i="66"/>
  <c r="P220" i="66"/>
  <c r="Q218" i="66"/>
  <c r="Z218" i="66"/>
  <c r="V70" i="66"/>
  <c r="S218" i="66"/>
  <c r="AA218" i="66"/>
  <c r="Z70" i="66"/>
  <c r="W70" i="66"/>
  <c r="T218" i="66"/>
  <c r="S70" i="66"/>
  <c r="X70" i="66"/>
  <c r="U218" i="66"/>
  <c r="AB218" i="66"/>
  <c r="AB13" i="66"/>
  <c r="AB70" i="66" s="1"/>
  <c r="AB220" i="66" l="1"/>
  <c r="Z220" i="66"/>
  <c r="Y220" i="66"/>
  <c r="V220" i="66"/>
  <c r="W220" i="66"/>
  <c r="U220" i="66"/>
  <c r="AA220" i="66"/>
  <c r="T220" i="66"/>
  <c r="X220" i="66"/>
  <c r="S220" i="66"/>
  <c r="Q220" i="66"/>
  <c r="J30" i="11" l="1"/>
  <c r="P8" i="54"/>
  <c r="H30" i="11"/>
  <c r="D30" i="11"/>
  <c r="K8" i="64"/>
  <c r="D34" i="11" l="1"/>
  <c r="AE71" i="65"/>
  <c r="AE69" i="65"/>
  <c r="AE60" i="65"/>
  <c r="AE51" i="65"/>
  <c r="AE42" i="65"/>
  <c r="AE33" i="65"/>
  <c r="AE24" i="65"/>
  <c r="AE15" i="65"/>
  <c r="L9" i="54"/>
  <c r="L10" i="54"/>
  <c r="L11" i="54"/>
  <c r="L12" i="54"/>
  <c r="L13" i="54"/>
  <c r="L14" i="54"/>
  <c r="L15" i="54"/>
  <c r="L16" i="54"/>
  <c r="L17" i="54"/>
  <c r="L18" i="54"/>
  <c r="L19" i="54"/>
  <c r="L20" i="54"/>
  <c r="L21" i="54"/>
  <c r="L22" i="54"/>
  <c r="L23" i="54"/>
  <c r="L24" i="54"/>
  <c r="L25" i="54"/>
  <c r="L26" i="54"/>
  <c r="L27" i="54"/>
  <c r="L28" i="54"/>
  <c r="L29" i="54"/>
  <c r="L30" i="54"/>
  <c r="L31" i="54"/>
  <c r="L32" i="54"/>
  <c r="L33" i="54"/>
  <c r="L34" i="54"/>
  <c r="L35" i="54"/>
  <c r="L36" i="54"/>
  <c r="L37" i="54"/>
  <c r="L38" i="54"/>
  <c r="L39" i="54"/>
  <c r="L40" i="54"/>
  <c r="L41" i="54"/>
  <c r="L42" i="54"/>
  <c r="L43" i="54"/>
  <c r="L44" i="54"/>
  <c r="L45" i="54"/>
  <c r="L46" i="54"/>
  <c r="L47" i="54"/>
  <c r="L48" i="54"/>
  <c r="L49" i="54"/>
  <c r="L50" i="54"/>
  <c r="L51" i="54"/>
  <c r="L52" i="54"/>
  <c r="L53" i="54"/>
  <c r="L54" i="54"/>
  <c r="L55" i="54"/>
  <c r="L56" i="54"/>
  <c r="L57" i="54"/>
  <c r="L58" i="54"/>
  <c r="L59" i="54"/>
  <c r="L60" i="54"/>
  <c r="L61" i="54"/>
  <c r="L62" i="54"/>
  <c r="L63" i="54"/>
  <c r="L64" i="54"/>
  <c r="L65" i="54"/>
  <c r="L66" i="54"/>
  <c r="L67" i="54"/>
  <c r="L68" i="54"/>
  <c r="L69" i="54"/>
  <c r="L70" i="54"/>
  <c r="L8" i="54"/>
  <c r="J33" i="11"/>
  <c r="Q42" i="65"/>
  <c r="Q36" i="65"/>
  <c r="Q37" i="65"/>
  <c r="Q38" i="65"/>
  <c r="Q39" i="65"/>
  <c r="Q40" i="65"/>
  <c r="Q41" i="65"/>
  <c r="Q35" i="65"/>
  <c r="P42" i="65"/>
  <c r="P36" i="65"/>
  <c r="P37" i="65"/>
  <c r="P38" i="65"/>
  <c r="P39" i="65"/>
  <c r="P40" i="65"/>
  <c r="P41" i="65"/>
  <c r="P35" i="65"/>
  <c r="O42" i="65"/>
  <c r="Q24" i="65"/>
  <c r="Q18" i="65"/>
  <c r="Q19" i="65"/>
  <c r="Q20" i="65"/>
  <c r="Q21" i="65"/>
  <c r="Q22" i="65"/>
  <c r="Q23" i="65"/>
  <c r="Q17" i="65"/>
  <c r="P17" i="65"/>
  <c r="P18" i="65"/>
  <c r="P19" i="65"/>
  <c r="P20" i="65"/>
  <c r="P21" i="65"/>
  <c r="P22" i="65"/>
  <c r="P23" i="65"/>
  <c r="O24" i="65"/>
  <c r="P24" i="65" l="1"/>
  <c r="Q77" i="11"/>
  <c r="Q79" i="11"/>
  <c r="Q86" i="11"/>
  <c r="Q89" i="11"/>
  <c r="Q90" i="11"/>
  <c r="Q91" i="11"/>
  <c r="Q93" i="11"/>
  <c r="Q100" i="11"/>
  <c r="Q101" i="11"/>
  <c r="Q76" i="11" l="1"/>
  <c r="Q84" i="11" l="1"/>
  <c r="S84" i="11"/>
  <c r="I83" i="11"/>
  <c r="S82" i="11" l="1"/>
  <c r="Q82" i="11"/>
  <c r="Q83" i="11"/>
  <c r="S83" i="11"/>
  <c r="Q92" i="11"/>
  <c r="Q75" i="11" l="1"/>
  <c r="Q99" i="11" l="1"/>
  <c r="Q98" i="11"/>
  <c r="S99" i="11" l="1"/>
  <c r="I102" i="11"/>
  <c r="J102" i="11"/>
  <c r="L102" i="11"/>
  <c r="M102" i="11"/>
  <c r="O102" i="11"/>
  <c r="E102" i="11"/>
  <c r="Q96" i="11"/>
  <c r="Q87" i="11" l="1"/>
  <c r="K102" i="11" l="1"/>
  <c r="H21" i="11"/>
  <c r="J8" i="54"/>
  <c r="P102" i="11" l="1"/>
  <c r="N102" i="11"/>
  <c r="S75" i="11"/>
  <c r="S76" i="11"/>
  <c r="S77" i="11"/>
  <c r="S79" i="11"/>
  <c r="Q74" i="11"/>
  <c r="G80" i="11"/>
  <c r="Q80" i="11" s="1"/>
  <c r="G88" i="11"/>
  <c r="H102" i="11" l="1"/>
  <c r="S80" i="11"/>
  <c r="S74" i="11"/>
  <c r="N75" i="54"/>
  <c r="N76" i="54"/>
  <c r="N77" i="54"/>
  <c r="N78" i="54"/>
  <c r="N79" i="54"/>
  <c r="N80" i="54"/>
  <c r="N81" i="54"/>
  <c r="N82" i="54"/>
  <c r="N83" i="54"/>
  <c r="N84" i="54"/>
  <c r="N85" i="54"/>
  <c r="N86" i="54"/>
  <c r="N87" i="54"/>
  <c r="N88" i="54"/>
  <c r="N89" i="54"/>
  <c r="N90" i="54"/>
  <c r="N91" i="54"/>
  <c r="N92" i="54"/>
  <c r="N93" i="54"/>
  <c r="N94" i="54"/>
  <c r="N95" i="54"/>
  <c r="N96" i="54"/>
  <c r="N97" i="54"/>
  <c r="N98" i="54"/>
  <c r="N99" i="54"/>
  <c r="N100" i="54"/>
  <c r="N101" i="54"/>
  <c r="N102" i="54"/>
  <c r="N103" i="54"/>
  <c r="N104" i="54"/>
  <c r="N105" i="54"/>
  <c r="N106" i="54"/>
  <c r="N107" i="54"/>
  <c r="N108" i="54"/>
  <c r="N109" i="54"/>
  <c r="N110" i="54"/>
  <c r="N111" i="54"/>
  <c r="N112" i="54"/>
  <c r="N113" i="54"/>
  <c r="N114" i="54"/>
  <c r="N115" i="54"/>
  <c r="N116" i="54"/>
  <c r="N117" i="54"/>
  <c r="N118" i="54"/>
  <c r="N119" i="54"/>
  <c r="N120" i="54"/>
  <c r="N121" i="54"/>
  <c r="N122" i="54"/>
  <c r="N123" i="54"/>
  <c r="N124" i="54"/>
  <c r="N125" i="54"/>
  <c r="N126" i="54"/>
  <c r="N127" i="54"/>
  <c r="N128" i="54"/>
  <c r="N129" i="54"/>
  <c r="N130" i="54"/>
  <c r="N131" i="54"/>
  <c r="N132" i="54"/>
  <c r="N133" i="54"/>
  <c r="N134" i="54"/>
  <c r="N135" i="54"/>
  <c r="N136" i="54"/>
  <c r="N137" i="54"/>
  <c r="N138" i="54"/>
  <c r="N139" i="54"/>
  <c r="N140" i="54"/>
  <c r="N141" i="54"/>
  <c r="N142" i="54"/>
  <c r="N143" i="54"/>
  <c r="N144" i="54"/>
  <c r="N145" i="54"/>
  <c r="N146" i="54"/>
  <c r="N147" i="54"/>
  <c r="N148" i="54"/>
  <c r="N149" i="54"/>
  <c r="N150" i="54"/>
  <c r="N151" i="54"/>
  <c r="N152" i="54"/>
  <c r="N153" i="54"/>
  <c r="N154" i="54"/>
  <c r="N155" i="54"/>
  <c r="N156" i="54"/>
  <c r="N157" i="54"/>
  <c r="N158" i="54"/>
  <c r="N159" i="54"/>
  <c r="N160" i="54"/>
  <c r="N161" i="54"/>
  <c r="N162" i="54"/>
  <c r="N163" i="54"/>
  <c r="N164" i="54"/>
  <c r="N165" i="54"/>
  <c r="N166" i="54"/>
  <c r="N167" i="54"/>
  <c r="N168" i="54"/>
  <c r="N169" i="54"/>
  <c r="N170" i="54"/>
  <c r="N171" i="54"/>
  <c r="N172" i="54"/>
  <c r="N173" i="54"/>
  <c r="N174" i="54"/>
  <c r="N175" i="54"/>
  <c r="N176" i="54"/>
  <c r="N177" i="54"/>
  <c r="N178" i="54"/>
  <c r="N179" i="54"/>
  <c r="N180" i="54"/>
  <c r="N181" i="54"/>
  <c r="N182" i="54"/>
  <c r="N183" i="54"/>
  <c r="N184" i="54"/>
  <c r="N185" i="54"/>
  <c r="N186" i="54"/>
  <c r="N187" i="54"/>
  <c r="N188" i="54"/>
  <c r="N189" i="54"/>
  <c r="N190" i="54"/>
  <c r="N191" i="54"/>
  <c r="N192" i="54"/>
  <c r="N193" i="54"/>
  <c r="N194" i="54"/>
  <c r="N195" i="54"/>
  <c r="N196" i="54"/>
  <c r="N197" i="54"/>
  <c r="N198" i="54"/>
  <c r="N199" i="54"/>
  <c r="N200" i="54"/>
  <c r="N201" i="54"/>
  <c r="N202" i="54"/>
  <c r="N203" i="54"/>
  <c r="N204" i="54"/>
  <c r="N205" i="54"/>
  <c r="N71" i="54"/>
  <c r="N207" i="54"/>
  <c r="N208" i="54"/>
  <c r="N209" i="54"/>
  <c r="N210" i="54"/>
  <c r="N211" i="54"/>
  <c r="N212" i="54"/>
  <c r="N213" i="54"/>
  <c r="N214" i="54"/>
  <c r="N215" i="54"/>
  <c r="N216" i="54"/>
  <c r="N217" i="54"/>
  <c r="N218" i="54"/>
  <c r="N219" i="54"/>
  <c r="N74" i="54"/>
  <c r="N9" i="54"/>
  <c r="N10" i="54"/>
  <c r="N11" i="54"/>
  <c r="N12" i="54"/>
  <c r="N13" i="54"/>
  <c r="N14" i="54"/>
  <c r="N15" i="54"/>
  <c r="N16" i="54"/>
  <c r="N17" i="54"/>
  <c r="N18" i="54"/>
  <c r="N19" i="54"/>
  <c r="N20" i="54"/>
  <c r="N21" i="54"/>
  <c r="N22" i="54"/>
  <c r="N23" i="54"/>
  <c r="N24" i="54"/>
  <c r="N25" i="54"/>
  <c r="N26" i="54"/>
  <c r="N27" i="54"/>
  <c r="N28" i="54"/>
  <c r="N29" i="54"/>
  <c r="N30" i="54"/>
  <c r="N31" i="54"/>
  <c r="N32" i="54"/>
  <c r="N33" i="54"/>
  <c r="N34" i="54"/>
  <c r="N35" i="54"/>
  <c r="N36" i="54"/>
  <c r="N37" i="54"/>
  <c r="N38" i="54"/>
  <c r="N39" i="54"/>
  <c r="N40" i="54"/>
  <c r="N41" i="54"/>
  <c r="N42" i="54"/>
  <c r="N43" i="54"/>
  <c r="N44" i="54"/>
  <c r="N45" i="54"/>
  <c r="N46" i="54"/>
  <c r="N47" i="54"/>
  <c r="N48" i="54"/>
  <c r="N49" i="54"/>
  <c r="N50" i="54"/>
  <c r="N51" i="54"/>
  <c r="N52" i="54"/>
  <c r="N53" i="54"/>
  <c r="N54" i="54"/>
  <c r="N55" i="54"/>
  <c r="N56" i="54"/>
  <c r="N57" i="54"/>
  <c r="N58" i="54"/>
  <c r="N59" i="54"/>
  <c r="N60" i="54"/>
  <c r="N61" i="54"/>
  <c r="N62" i="54"/>
  <c r="N63" i="54"/>
  <c r="N64" i="54"/>
  <c r="N65" i="54"/>
  <c r="N66" i="54"/>
  <c r="N67" i="54"/>
  <c r="N68" i="54"/>
  <c r="N69" i="54"/>
  <c r="N70" i="54"/>
  <c r="N8" i="54"/>
  <c r="D21" i="11"/>
  <c r="T221" i="62"/>
  <c r="T219" i="62"/>
  <c r="T74" i="62"/>
  <c r="T75" i="62"/>
  <c r="T76" i="62"/>
  <c r="T77" i="62"/>
  <c r="T78" i="62"/>
  <c r="T79" i="62"/>
  <c r="T80" i="62"/>
  <c r="T81" i="62"/>
  <c r="T82" i="62"/>
  <c r="T83" i="62"/>
  <c r="T84" i="62"/>
  <c r="T85" i="62"/>
  <c r="T86" i="62"/>
  <c r="T87" i="62"/>
  <c r="T88" i="62"/>
  <c r="T89" i="62"/>
  <c r="T90" i="62"/>
  <c r="T91" i="62"/>
  <c r="T92" i="62"/>
  <c r="T93" i="62"/>
  <c r="T94" i="62"/>
  <c r="T95" i="62"/>
  <c r="T96" i="62"/>
  <c r="T97" i="62"/>
  <c r="T98" i="62"/>
  <c r="T99" i="62"/>
  <c r="T100" i="62"/>
  <c r="T101" i="62"/>
  <c r="T102" i="62"/>
  <c r="T103" i="62"/>
  <c r="T104" i="62"/>
  <c r="T105" i="62"/>
  <c r="T106" i="62"/>
  <c r="T107" i="62"/>
  <c r="T108" i="62"/>
  <c r="T109" i="62"/>
  <c r="T110" i="62"/>
  <c r="T111" i="62"/>
  <c r="T112" i="62"/>
  <c r="T113" i="62"/>
  <c r="T114" i="62"/>
  <c r="T115" i="62"/>
  <c r="T116" i="62"/>
  <c r="T117" i="62"/>
  <c r="T118" i="62"/>
  <c r="T119" i="62"/>
  <c r="T120" i="62"/>
  <c r="T121" i="62"/>
  <c r="T122" i="62"/>
  <c r="T123" i="62"/>
  <c r="T124" i="62"/>
  <c r="T125" i="62"/>
  <c r="T126" i="62"/>
  <c r="T127" i="62"/>
  <c r="T128" i="62"/>
  <c r="T129" i="62"/>
  <c r="T130" i="62"/>
  <c r="T131" i="62"/>
  <c r="T132" i="62"/>
  <c r="T133" i="62"/>
  <c r="T134" i="62"/>
  <c r="T135" i="62"/>
  <c r="T136" i="62"/>
  <c r="T137" i="62"/>
  <c r="T138" i="62"/>
  <c r="T139" i="62"/>
  <c r="T140" i="62"/>
  <c r="T141" i="62"/>
  <c r="T142" i="62"/>
  <c r="T143" i="62"/>
  <c r="T144" i="62"/>
  <c r="T145" i="62"/>
  <c r="T146" i="62"/>
  <c r="T147" i="62"/>
  <c r="T148" i="62"/>
  <c r="T149" i="62"/>
  <c r="T150" i="62"/>
  <c r="T151" i="62"/>
  <c r="T152" i="62"/>
  <c r="T153" i="62"/>
  <c r="T154" i="62"/>
  <c r="T155" i="62"/>
  <c r="T156" i="62"/>
  <c r="T157" i="62"/>
  <c r="T158" i="62"/>
  <c r="T159" i="62"/>
  <c r="T160" i="62"/>
  <c r="T161" i="62"/>
  <c r="T162" i="62"/>
  <c r="T163" i="62"/>
  <c r="T164" i="62"/>
  <c r="T165" i="62"/>
  <c r="T166" i="62"/>
  <c r="T167" i="62"/>
  <c r="T168" i="62"/>
  <c r="T169" i="62"/>
  <c r="T170" i="62"/>
  <c r="T171" i="62"/>
  <c r="T172" i="62"/>
  <c r="T173" i="62"/>
  <c r="T174" i="62"/>
  <c r="T175" i="62"/>
  <c r="T176" i="62"/>
  <c r="T177" i="62"/>
  <c r="T178" i="62"/>
  <c r="T179" i="62"/>
  <c r="T180" i="62"/>
  <c r="T181" i="62"/>
  <c r="T182" i="62"/>
  <c r="T183" i="62"/>
  <c r="T184" i="62"/>
  <c r="T185" i="62"/>
  <c r="T186" i="62"/>
  <c r="T187" i="62"/>
  <c r="T188" i="62"/>
  <c r="T189" i="62"/>
  <c r="T190" i="62"/>
  <c r="T191" i="62"/>
  <c r="T192" i="62"/>
  <c r="T193" i="62"/>
  <c r="T194" i="62"/>
  <c r="T195" i="62"/>
  <c r="T196" i="62"/>
  <c r="T197" i="62"/>
  <c r="T198" i="62"/>
  <c r="T199" i="62"/>
  <c r="T200" i="62"/>
  <c r="T201" i="62"/>
  <c r="T202" i="62"/>
  <c r="T203" i="62"/>
  <c r="T204" i="62"/>
  <c r="T205" i="62"/>
  <c r="T206" i="62"/>
  <c r="T207" i="62"/>
  <c r="T208" i="62"/>
  <c r="T209" i="62"/>
  <c r="T210" i="62"/>
  <c r="T211" i="62"/>
  <c r="T212" i="62"/>
  <c r="T213" i="62"/>
  <c r="T214" i="62"/>
  <c r="T215" i="62"/>
  <c r="T216" i="62"/>
  <c r="T217" i="62"/>
  <c r="T218" i="62"/>
  <c r="T73" i="62"/>
  <c r="T71" i="62"/>
  <c r="T9" i="62"/>
  <c r="T10" i="62"/>
  <c r="T11" i="62"/>
  <c r="T12" i="62"/>
  <c r="T13" i="62"/>
  <c r="T14" i="62"/>
  <c r="T15" i="62"/>
  <c r="T16" i="62"/>
  <c r="T17" i="62"/>
  <c r="T18" i="62"/>
  <c r="T19" i="62"/>
  <c r="T20" i="62"/>
  <c r="T21" i="62"/>
  <c r="T22" i="62"/>
  <c r="T23" i="62"/>
  <c r="T24" i="62"/>
  <c r="T25" i="62"/>
  <c r="T26" i="62"/>
  <c r="T27" i="62"/>
  <c r="T28" i="62"/>
  <c r="T29" i="62"/>
  <c r="T30" i="62"/>
  <c r="T31" i="62"/>
  <c r="T32" i="62"/>
  <c r="T33" i="62"/>
  <c r="T34" i="62"/>
  <c r="T35" i="62"/>
  <c r="T36" i="62"/>
  <c r="T37" i="62"/>
  <c r="T38" i="62"/>
  <c r="T39" i="62"/>
  <c r="T40" i="62"/>
  <c r="T41" i="62"/>
  <c r="T42" i="62"/>
  <c r="T43" i="62"/>
  <c r="T44" i="62"/>
  <c r="T45" i="62"/>
  <c r="T46" i="62"/>
  <c r="T47" i="62"/>
  <c r="T48" i="62"/>
  <c r="T49" i="62"/>
  <c r="T50" i="62"/>
  <c r="T51" i="62"/>
  <c r="T52" i="62"/>
  <c r="T53" i="62"/>
  <c r="T54" i="62"/>
  <c r="T55" i="62"/>
  <c r="T56" i="62"/>
  <c r="T57" i="62"/>
  <c r="T58" i="62"/>
  <c r="T59" i="62"/>
  <c r="T60" i="62"/>
  <c r="T61" i="62"/>
  <c r="T62" i="62"/>
  <c r="T63" i="62"/>
  <c r="T64" i="62"/>
  <c r="T65" i="62"/>
  <c r="T66" i="62"/>
  <c r="T67" i="62"/>
  <c r="T68" i="62"/>
  <c r="T69" i="62"/>
  <c r="T70" i="62"/>
  <c r="S221" i="62"/>
  <c r="S219" i="62"/>
  <c r="S71" i="62"/>
  <c r="T8" i="62"/>
  <c r="R71" i="62"/>
  <c r="R221" i="62" s="1"/>
  <c r="R219" i="62"/>
  <c r="H56" i="11" l="1"/>
  <c r="J56" i="11" s="1"/>
  <c r="K56" i="11" l="1"/>
  <c r="L56" i="11"/>
  <c r="M56" i="11"/>
  <c r="I56" i="11"/>
  <c r="Q56" i="11" s="1"/>
  <c r="P56" i="11"/>
  <c r="O56" i="11"/>
  <c r="N56" i="11"/>
  <c r="S56" i="11" l="1"/>
  <c r="G81" i="11"/>
  <c r="Q81" i="11" s="1"/>
  <c r="G102" i="11" l="1"/>
  <c r="D5" i="11"/>
  <c r="M75" i="54" l="1"/>
  <c r="M76" i="54"/>
  <c r="M77" i="54"/>
  <c r="M78" i="54"/>
  <c r="M79" i="54"/>
  <c r="M80" i="54"/>
  <c r="M81" i="54"/>
  <c r="M82" i="54"/>
  <c r="M83" i="54"/>
  <c r="M84" i="54"/>
  <c r="M85" i="54"/>
  <c r="M86" i="54"/>
  <c r="M87" i="54"/>
  <c r="M88" i="54"/>
  <c r="M89" i="54"/>
  <c r="M90" i="54"/>
  <c r="M91" i="54"/>
  <c r="M92" i="54"/>
  <c r="M93" i="54"/>
  <c r="M94" i="54"/>
  <c r="M95" i="54"/>
  <c r="M96" i="54"/>
  <c r="M97" i="54"/>
  <c r="M98" i="54"/>
  <c r="M99" i="54"/>
  <c r="M100" i="54"/>
  <c r="M101" i="54"/>
  <c r="M102" i="54"/>
  <c r="M103" i="54"/>
  <c r="M104" i="54"/>
  <c r="M105" i="54"/>
  <c r="M106" i="54"/>
  <c r="M107" i="54"/>
  <c r="M108" i="54"/>
  <c r="M109" i="54"/>
  <c r="M110" i="54"/>
  <c r="M111" i="54"/>
  <c r="M112" i="54"/>
  <c r="M113" i="54"/>
  <c r="M114" i="54"/>
  <c r="M115" i="54"/>
  <c r="M116" i="54"/>
  <c r="M117" i="54"/>
  <c r="M118" i="54"/>
  <c r="M119" i="54"/>
  <c r="M120" i="54"/>
  <c r="M121" i="54"/>
  <c r="M122" i="54"/>
  <c r="M123" i="54"/>
  <c r="M124" i="54"/>
  <c r="M125" i="54"/>
  <c r="M126" i="54"/>
  <c r="M127" i="54"/>
  <c r="M128" i="54"/>
  <c r="M129" i="54"/>
  <c r="M130" i="54"/>
  <c r="M131" i="54"/>
  <c r="M132" i="54"/>
  <c r="M133" i="54"/>
  <c r="M134" i="54"/>
  <c r="M135" i="54"/>
  <c r="M136" i="54"/>
  <c r="M137" i="54"/>
  <c r="M138" i="54"/>
  <c r="M139" i="54"/>
  <c r="M140" i="54"/>
  <c r="M141" i="54"/>
  <c r="M142" i="54"/>
  <c r="M143" i="54"/>
  <c r="M144" i="54"/>
  <c r="M145" i="54"/>
  <c r="M146" i="54"/>
  <c r="M147" i="54"/>
  <c r="M148" i="54"/>
  <c r="M149" i="54"/>
  <c r="M150" i="54"/>
  <c r="M151" i="54"/>
  <c r="M152" i="54"/>
  <c r="M153" i="54"/>
  <c r="M154" i="54"/>
  <c r="M155" i="54"/>
  <c r="M156" i="54"/>
  <c r="M157" i="54"/>
  <c r="M158" i="54"/>
  <c r="M159" i="54"/>
  <c r="M160" i="54"/>
  <c r="M161" i="54"/>
  <c r="M162" i="54"/>
  <c r="M163" i="54"/>
  <c r="M164" i="54"/>
  <c r="M165" i="54"/>
  <c r="M166" i="54"/>
  <c r="M167" i="54"/>
  <c r="M168" i="54"/>
  <c r="M169" i="54"/>
  <c r="M170" i="54"/>
  <c r="M171" i="54"/>
  <c r="M172" i="54"/>
  <c r="M173" i="54"/>
  <c r="M175" i="54"/>
  <c r="M176" i="54"/>
  <c r="M177" i="54"/>
  <c r="M178" i="54"/>
  <c r="M179" i="54"/>
  <c r="M180" i="54"/>
  <c r="M181" i="54"/>
  <c r="M182" i="54"/>
  <c r="M183" i="54"/>
  <c r="M184" i="54"/>
  <c r="M185" i="54"/>
  <c r="M186" i="54"/>
  <c r="M187" i="54"/>
  <c r="M188" i="54"/>
  <c r="M189" i="54"/>
  <c r="M190" i="54"/>
  <c r="M191" i="54"/>
  <c r="M192" i="54"/>
  <c r="M193" i="54"/>
  <c r="M194" i="54"/>
  <c r="M195" i="54"/>
  <c r="M196" i="54"/>
  <c r="M197" i="54"/>
  <c r="M198" i="54"/>
  <c r="M199" i="54"/>
  <c r="M200" i="54"/>
  <c r="M201" i="54"/>
  <c r="M202" i="54"/>
  <c r="M203" i="54"/>
  <c r="M204" i="54"/>
  <c r="M205" i="54"/>
  <c r="M71" i="54"/>
  <c r="M207" i="54"/>
  <c r="M208" i="54"/>
  <c r="M209" i="54"/>
  <c r="M210" i="54"/>
  <c r="M211" i="54"/>
  <c r="M212" i="54"/>
  <c r="M213" i="54"/>
  <c r="M214" i="54"/>
  <c r="M215" i="54"/>
  <c r="M216" i="54"/>
  <c r="M217" i="54"/>
  <c r="M218" i="54"/>
  <c r="M219" i="54"/>
  <c r="M74" i="54"/>
  <c r="O75" i="54"/>
  <c r="O76" i="54"/>
  <c r="O77" i="54"/>
  <c r="O78" i="54"/>
  <c r="O79" i="54"/>
  <c r="O80" i="54"/>
  <c r="O81" i="54"/>
  <c r="O82" i="54"/>
  <c r="O83" i="54"/>
  <c r="O84" i="54"/>
  <c r="O85" i="54"/>
  <c r="O86" i="54"/>
  <c r="O87" i="54"/>
  <c r="O88" i="54"/>
  <c r="O89" i="54"/>
  <c r="O90" i="54"/>
  <c r="O91" i="54"/>
  <c r="O92" i="54"/>
  <c r="O93" i="54"/>
  <c r="O94" i="54"/>
  <c r="O95" i="54"/>
  <c r="O96" i="54"/>
  <c r="O97" i="54"/>
  <c r="O98" i="54"/>
  <c r="O99" i="54"/>
  <c r="O100" i="54"/>
  <c r="O101" i="54"/>
  <c r="O102" i="54"/>
  <c r="O103" i="54"/>
  <c r="O104" i="54"/>
  <c r="O105" i="54"/>
  <c r="O106" i="54"/>
  <c r="O107" i="54"/>
  <c r="O108" i="54"/>
  <c r="O109" i="54"/>
  <c r="O110" i="54"/>
  <c r="O111" i="54"/>
  <c r="O112" i="54"/>
  <c r="O113" i="54"/>
  <c r="O114" i="54"/>
  <c r="O115" i="54"/>
  <c r="O116" i="54"/>
  <c r="O117" i="54"/>
  <c r="O118" i="54"/>
  <c r="O119" i="54"/>
  <c r="O120" i="54"/>
  <c r="O121" i="54"/>
  <c r="O122" i="54"/>
  <c r="O123" i="54"/>
  <c r="O124" i="54"/>
  <c r="O125" i="54"/>
  <c r="O126" i="54"/>
  <c r="O127" i="54"/>
  <c r="O128" i="54"/>
  <c r="O129" i="54"/>
  <c r="O130" i="54"/>
  <c r="O131" i="54"/>
  <c r="O132" i="54"/>
  <c r="O133" i="54"/>
  <c r="O134" i="54"/>
  <c r="O135" i="54"/>
  <c r="O136" i="54"/>
  <c r="O137" i="54"/>
  <c r="O138" i="54"/>
  <c r="O139" i="54"/>
  <c r="O140" i="54"/>
  <c r="O141" i="54"/>
  <c r="O142" i="54"/>
  <c r="O143" i="54"/>
  <c r="O144" i="54"/>
  <c r="O145" i="54"/>
  <c r="O146" i="54"/>
  <c r="O147" i="54"/>
  <c r="O148" i="54"/>
  <c r="O149" i="54"/>
  <c r="O150" i="54"/>
  <c r="O151" i="54"/>
  <c r="O152" i="54"/>
  <c r="O153" i="54"/>
  <c r="O154" i="54"/>
  <c r="O155" i="54"/>
  <c r="O156" i="54"/>
  <c r="O157" i="54"/>
  <c r="O158" i="54"/>
  <c r="O159" i="54"/>
  <c r="O160" i="54"/>
  <c r="O161" i="54"/>
  <c r="O162" i="54"/>
  <c r="O163" i="54"/>
  <c r="O164" i="54"/>
  <c r="O165" i="54"/>
  <c r="O166" i="54"/>
  <c r="O167" i="54"/>
  <c r="O168" i="54"/>
  <c r="O169" i="54"/>
  <c r="O170" i="54"/>
  <c r="O171" i="54"/>
  <c r="O172" i="54"/>
  <c r="O173" i="54"/>
  <c r="O174" i="54"/>
  <c r="O175" i="54"/>
  <c r="O176" i="54"/>
  <c r="O177" i="54"/>
  <c r="O178" i="54"/>
  <c r="O179" i="54"/>
  <c r="O180" i="54"/>
  <c r="O181" i="54"/>
  <c r="O182" i="54"/>
  <c r="O183" i="54"/>
  <c r="O184" i="54"/>
  <c r="O185" i="54"/>
  <c r="O186" i="54"/>
  <c r="O187" i="54"/>
  <c r="O188" i="54"/>
  <c r="O189" i="54"/>
  <c r="O190" i="54"/>
  <c r="O191" i="54"/>
  <c r="O192" i="54"/>
  <c r="O193" i="54"/>
  <c r="O194" i="54"/>
  <c r="O195" i="54"/>
  <c r="O196" i="54"/>
  <c r="O197" i="54"/>
  <c r="O198" i="54"/>
  <c r="O199" i="54"/>
  <c r="O200" i="54"/>
  <c r="O201" i="54"/>
  <c r="O202" i="54"/>
  <c r="O203" i="54"/>
  <c r="O204" i="54"/>
  <c r="O205" i="54"/>
  <c r="O71" i="54"/>
  <c r="O207" i="54"/>
  <c r="O208" i="54"/>
  <c r="O209" i="54"/>
  <c r="O210" i="54"/>
  <c r="O211" i="54"/>
  <c r="O212" i="54"/>
  <c r="O213" i="54"/>
  <c r="O214" i="54"/>
  <c r="O215" i="54"/>
  <c r="O216" i="54"/>
  <c r="O217" i="54"/>
  <c r="O218" i="54"/>
  <c r="O219" i="54"/>
  <c r="O74" i="54"/>
  <c r="L75" i="54"/>
  <c r="L76" i="54"/>
  <c r="L77" i="54"/>
  <c r="L78" i="54"/>
  <c r="L79" i="54"/>
  <c r="L80" i="54"/>
  <c r="L81" i="54"/>
  <c r="L82" i="54"/>
  <c r="L83" i="54"/>
  <c r="L84" i="54"/>
  <c r="L85" i="54"/>
  <c r="L86" i="54"/>
  <c r="L87" i="54"/>
  <c r="L88" i="54"/>
  <c r="L89" i="54"/>
  <c r="L90" i="54"/>
  <c r="L91" i="54"/>
  <c r="L92" i="54"/>
  <c r="L93" i="54"/>
  <c r="L94" i="54"/>
  <c r="L95" i="54"/>
  <c r="L96" i="54"/>
  <c r="L97" i="54"/>
  <c r="L98" i="54"/>
  <c r="L99" i="54"/>
  <c r="L100" i="54"/>
  <c r="L101" i="54"/>
  <c r="L102" i="54"/>
  <c r="L103" i="54"/>
  <c r="L104" i="54"/>
  <c r="L105" i="54"/>
  <c r="L106" i="54"/>
  <c r="L107" i="54"/>
  <c r="L108" i="54"/>
  <c r="L109" i="54"/>
  <c r="L110" i="54"/>
  <c r="L111" i="54"/>
  <c r="L112" i="54"/>
  <c r="L113" i="54"/>
  <c r="L114" i="54"/>
  <c r="L115" i="54"/>
  <c r="L116" i="54"/>
  <c r="L117" i="54"/>
  <c r="L118" i="54"/>
  <c r="L119" i="54"/>
  <c r="L120" i="54"/>
  <c r="L121" i="54"/>
  <c r="L122" i="54"/>
  <c r="L123" i="54"/>
  <c r="L124" i="54"/>
  <c r="L125" i="54"/>
  <c r="L126" i="54"/>
  <c r="L127" i="54"/>
  <c r="L128" i="54"/>
  <c r="L129" i="54"/>
  <c r="L130" i="54"/>
  <c r="L131" i="54"/>
  <c r="L132" i="54"/>
  <c r="L133" i="54"/>
  <c r="L134" i="54"/>
  <c r="L135" i="54"/>
  <c r="L136" i="54"/>
  <c r="L137" i="54"/>
  <c r="L138" i="54"/>
  <c r="L139" i="54"/>
  <c r="L140" i="54"/>
  <c r="L141" i="54"/>
  <c r="L142" i="54"/>
  <c r="L143" i="54"/>
  <c r="L144" i="54"/>
  <c r="L145" i="54"/>
  <c r="L146" i="54"/>
  <c r="L147" i="54"/>
  <c r="L148" i="54"/>
  <c r="L149" i="54"/>
  <c r="L150" i="54"/>
  <c r="L151" i="54"/>
  <c r="L152" i="54"/>
  <c r="L153" i="54"/>
  <c r="L154" i="54"/>
  <c r="L155" i="54"/>
  <c r="L156" i="54"/>
  <c r="L157" i="54"/>
  <c r="L158" i="54"/>
  <c r="L159" i="54"/>
  <c r="L160" i="54"/>
  <c r="L161" i="54"/>
  <c r="L162" i="54"/>
  <c r="L163" i="54"/>
  <c r="L164" i="54"/>
  <c r="L165" i="54"/>
  <c r="L166" i="54"/>
  <c r="L167" i="54"/>
  <c r="L168" i="54"/>
  <c r="L169" i="54"/>
  <c r="L170" i="54"/>
  <c r="L171" i="54"/>
  <c r="L172" i="54"/>
  <c r="L173" i="54"/>
  <c r="L174" i="54"/>
  <c r="L175" i="54"/>
  <c r="L176" i="54"/>
  <c r="L177" i="54"/>
  <c r="L178" i="54"/>
  <c r="L179" i="54"/>
  <c r="L180" i="54"/>
  <c r="L181" i="54"/>
  <c r="L182" i="54"/>
  <c r="L183" i="54"/>
  <c r="L184" i="54"/>
  <c r="L185" i="54"/>
  <c r="L186" i="54"/>
  <c r="L187" i="54"/>
  <c r="L188" i="54"/>
  <c r="L189" i="54"/>
  <c r="L190" i="54"/>
  <c r="L191" i="54"/>
  <c r="L192" i="54"/>
  <c r="L193" i="54"/>
  <c r="L194" i="54"/>
  <c r="L195" i="54"/>
  <c r="L196" i="54"/>
  <c r="L197" i="54"/>
  <c r="L198" i="54"/>
  <c r="L199" i="54"/>
  <c r="L200" i="54"/>
  <c r="L201" i="54"/>
  <c r="L202" i="54"/>
  <c r="L203" i="54"/>
  <c r="L204" i="54"/>
  <c r="L205" i="54"/>
  <c r="L71" i="54"/>
  <c r="L207" i="54"/>
  <c r="L208" i="54"/>
  <c r="L209" i="54"/>
  <c r="L210" i="54"/>
  <c r="L211" i="54"/>
  <c r="L212" i="54"/>
  <c r="L213" i="54"/>
  <c r="L214" i="54"/>
  <c r="L215" i="54"/>
  <c r="L216" i="54"/>
  <c r="L217" i="54"/>
  <c r="L218" i="54"/>
  <c r="L219" i="54"/>
  <c r="L74" i="54"/>
  <c r="Q34" i="11"/>
  <c r="D33" i="11"/>
  <c r="AC51" i="65"/>
  <c r="AA50" i="65"/>
  <c r="Z50" i="65"/>
  <c r="Y50" i="65"/>
  <c r="X50" i="65"/>
  <c r="W50" i="65"/>
  <c r="V50" i="65"/>
  <c r="U50" i="65"/>
  <c r="T50" i="65"/>
  <c r="AA49" i="65"/>
  <c r="Z49" i="65"/>
  <c r="Y49" i="65"/>
  <c r="X49" i="65"/>
  <c r="W49" i="65"/>
  <c r="V49" i="65"/>
  <c r="U49" i="65"/>
  <c r="T49" i="65"/>
  <c r="AA48" i="65"/>
  <c r="Z48" i="65"/>
  <c r="Y48" i="65"/>
  <c r="X48" i="65"/>
  <c r="W48" i="65"/>
  <c r="V48" i="65"/>
  <c r="U48" i="65"/>
  <c r="T48" i="65"/>
  <c r="AA47" i="65"/>
  <c r="Z47" i="65"/>
  <c r="Y47" i="65"/>
  <c r="X47" i="65"/>
  <c r="W47" i="65"/>
  <c r="V47" i="65"/>
  <c r="U47" i="65"/>
  <c r="T47" i="65"/>
  <c r="AA46" i="65"/>
  <c r="Z46" i="65"/>
  <c r="Y46" i="65"/>
  <c r="X46" i="65"/>
  <c r="W46" i="65"/>
  <c r="V46" i="65"/>
  <c r="U46" i="65"/>
  <c r="T46" i="65"/>
  <c r="AA45" i="65"/>
  <c r="Z45" i="65"/>
  <c r="Y45" i="65"/>
  <c r="X45" i="65"/>
  <c r="W45" i="65"/>
  <c r="V45" i="65"/>
  <c r="U45" i="65"/>
  <c r="T45" i="65"/>
  <c r="AA44" i="65"/>
  <c r="AA51" i="65" s="1"/>
  <c r="Z44" i="65"/>
  <c r="Y44" i="65"/>
  <c r="Y51" i="65" s="1"/>
  <c r="X44" i="65"/>
  <c r="W44" i="65"/>
  <c r="V44" i="65"/>
  <c r="V51" i="65" s="1"/>
  <c r="U44" i="65"/>
  <c r="U51" i="65" s="1"/>
  <c r="T44" i="65"/>
  <c r="AC60" i="65"/>
  <c r="AA59" i="65"/>
  <c r="Z59" i="65"/>
  <c r="Y59" i="65"/>
  <c r="X59" i="65"/>
  <c r="W59" i="65"/>
  <c r="V59" i="65"/>
  <c r="U59" i="65"/>
  <c r="T59" i="65"/>
  <c r="AA58" i="65"/>
  <c r="Z58" i="65"/>
  <c r="Y58" i="65"/>
  <c r="X58" i="65"/>
  <c r="W58" i="65"/>
  <c r="V58" i="65"/>
  <c r="U58" i="65"/>
  <c r="T58" i="65"/>
  <c r="AA57" i="65"/>
  <c r="Z57" i="65"/>
  <c r="Y57" i="65"/>
  <c r="X57" i="65"/>
  <c r="W57" i="65"/>
  <c r="V57" i="65"/>
  <c r="U57" i="65"/>
  <c r="T57" i="65"/>
  <c r="AA56" i="65"/>
  <c r="Z56" i="65"/>
  <c r="Y56" i="65"/>
  <c r="X56" i="65"/>
  <c r="W56" i="65"/>
  <c r="V56" i="65"/>
  <c r="U56" i="65"/>
  <c r="T56" i="65"/>
  <c r="AA55" i="65"/>
  <c r="Z55" i="65"/>
  <c r="Y55" i="65"/>
  <c r="X55" i="65"/>
  <c r="W55" i="65"/>
  <c r="V55" i="65"/>
  <c r="U55" i="65"/>
  <c r="T55" i="65"/>
  <c r="AA54" i="65"/>
  <c r="Z54" i="65"/>
  <c r="Y54" i="65"/>
  <c r="X54" i="65"/>
  <c r="W54" i="65"/>
  <c r="V54" i="65"/>
  <c r="U54" i="65"/>
  <c r="T54" i="65"/>
  <c r="AA53" i="65"/>
  <c r="Z53" i="65"/>
  <c r="Z60" i="65" s="1"/>
  <c r="Y53" i="65"/>
  <c r="Y60" i="65" s="1"/>
  <c r="X53" i="65"/>
  <c r="W53" i="65"/>
  <c r="W60" i="65" s="1"/>
  <c r="V53" i="65"/>
  <c r="U53" i="65"/>
  <c r="T53" i="65"/>
  <c r="AC69" i="65"/>
  <c r="AA68" i="65"/>
  <c r="Z68" i="65"/>
  <c r="Y68" i="65"/>
  <c r="X68" i="65"/>
  <c r="W68" i="65"/>
  <c r="V68" i="65"/>
  <c r="U68" i="65"/>
  <c r="T68" i="65"/>
  <c r="AA67" i="65"/>
  <c r="Z67" i="65"/>
  <c r="Y67" i="65"/>
  <c r="X67" i="65"/>
  <c r="W67" i="65"/>
  <c r="V67" i="65"/>
  <c r="U67" i="65"/>
  <c r="T67" i="65"/>
  <c r="AA66" i="65"/>
  <c r="Z66" i="65"/>
  <c r="Y66" i="65"/>
  <c r="X66" i="65"/>
  <c r="W66" i="65"/>
  <c r="V66" i="65"/>
  <c r="U66" i="65"/>
  <c r="T66" i="65"/>
  <c r="AA65" i="65"/>
  <c r="Z65" i="65"/>
  <c r="Y65" i="65"/>
  <c r="X65" i="65"/>
  <c r="W65" i="65"/>
  <c r="V65" i="65"/>
  <c r="U65" i="65"/>
  <c r="T65" i="65"/>
  <c r="AA64" i="65"/>
  <c r="Z64" i="65"/>
  <c r="Y64" i="65"/>
  <c r="X64" i="65"/>
  <c r="W64" i="65"/>
  <c r="V64" i="65"/>
  <c r="U64" i="65"/>
  <c r="T64" i="65"/>
  <c r="AA63" i="65"/>
  <c r="Z63" i="65"/>
  <c r="Y63" i="65"/>
  <c r="X63" i="65"/>
  <c r="W63" i="65"/>
  <c r="V63" i="65"/>
  <c r="U63" i="65"/>
  <c r="T63" i="65"/>
  <c r="AA62" i="65"/>
  <c r="Z62" i="65"/>
  <c r="Z69" i="65" s="1"/>
  <c r="Y62" i="65"/>
  <c r="Y69" i="65" s="1"/>
  <c r="X62" i="65"/>
  <c r="W62" i="65"/>
  <c r="V62" i="65"/>
  <c r="U62" i="65"/>
  <c r="U69" i="65" s="1"/>
  <c r="T62" i="65"/>
  <c r="AC33" i="65"/>
  <c r="AA32" i="65"/>
  <c r="Z32" i="65"/>
  <c r="Y32" i="65"/>
  <c r="X32" i="65"/>
  <c r="W32" i="65"/>
  <c r="V32" i="65"/>
  <c r="U32" i="65"/>
  <c r="T32" i="65"/>
  <c r="AA31" i="65"/>
  <c r="Z31" i="65"/>
  <c r="Y31" i="65"/>
  <c r="X31" i="65"/>
  <c r="W31" i="65"/>
  <c r="V31" i="65"/>
  <c r="U31" i="65"/>
  <c r="T31" i="65"/>
  <c r="AA30" i="65"/>
  <c r="Z30" i="65"/>
  <c r="Y30" i="65"/>
  <c r="X30" i="65"/>
  <c r="W30" i="65"/>
  <c r="V30" i="65"/>
  <c r="U30" i="65"/>
  <c r="T30" i="65"/>
  <c r="AA29" i="65"/>
  <c r="Z29" i="65"/>
  <c r="Y29" i="65"/>
  <c r="X29" i="65"/>
  <c r="W29" i="65"/>
  <c r="V29" i="65"/>
  <c r="U29" i="65"/>
  <c r="T29" i="65"/>
  <c r="AA28" i="65"/>
  <c r="Z28" i="65"/>
  <c r="Y28" i="65"/>
  <c r="X28" i="65"/>
  <c r="W28" i="65"/>
  <c r="V28" i="65"/>
  <c r="U28" i="65"/>
  <c r="T28" i="65"/>
  <c r="AA27" i="65"/>
  <c r="Z27" i="65"/>
  <c r="Y27" i="65"/>
  <c r="X27" i="65"/>
  <c r="W27" i="65"/>
  <c r="V27" i="65"/>
  <c r="U27" i="65"/>
  <c r="T27" i="65"/>
  <c r="AA26" i="65"/>
  <c r="Z26" i="65"/>
  <c r="Z33" i="65" s="1"/>
  <c r="Y26" i="65"/>
  <c r="X26" i="65"/>
  <c r="W26" i="65"/>
  <c r="W33" i="65" s="1"/>
  <c r="V26" i="65"/>
  <c r="U26" i="65"/>
  <c r="T26" i="65"/>
  <c r="T33" i="65" s="1"/>
  <c r="AC42" i="65"/>
  <c r="AA41" i="65"/>
  <c r="Z41" i="65"/>
  <c r="Y41" i="65"/>
  <c r="X41" i="65"/>
  <c r="W41" i="65"/>
  <c r="V41" i="65"/>
  <c r="U41" i="65"/>
  <c r="T41" i="65"/>
  <c r="AA40" i="65"/>
  <c r="Z40" i="65"/>
  <c r="Y40" i="65"/>
  <c r="X40" i="65"/>
  <c r="W40" i="65"/>
  <c r="V40" i="65"/>
  <c r="U40" i="65"/>
  <c r="T40" i="65"/>
  <c r="AA39" i="65"/>
  <c r="Z39" i="65"/>
  <c r="Y39" i="65"/>
  <c r="X39" i="65"/>
  <c r="W39" i="65"/>
  <c r="V39" i="65"/>
  <c r="U39" i="65"/>
  <c r="T39" i="65"/>
  <c r="AA38" i="65"/>
  <c r="Z38" i="65"/>
  <c r="Y38" i="65"/>
  <c r="X38" i="65"/>
  <c r="W38" i="65"/>
  <c r="V38" i="65"/>
  <c r="U38" i="65"/>
  <c r="T38" i="65"/>
  <c r="AA37" i="65"/>
  <c r="Z37" i="65"/>
  <c r="Y37" i="65"/>
  <c r="X37" i="65"/>
  <c r="W37" i="65"/>
  <c r="V37" i="65"/>
  <c r="U37" i="65"/>
  <c r="T37" i="65"/>
  <c r="AA36" i="65"/>
  <c r="Z36" i="65"/>
  <c r="Y36" i="65"/>
  <c r="X36" i="65"/>
  <c r="W36" i="65"/>
  <c r="V36" i="65"/>
  <c r="U36" i="65"/>
  <c r="T36" i="65"/>
  <c r="AA35" i="65"/>
  <c r="Z35" i="65"/>
  <c r="Y35" i="65"/>
  <c r="Y42" i="65" s="1"/>
  <c r="X35" i="65"/>
  <c r="W35" i="65"/>
  <c r="V35" i="65"/>
  <c r="U35" i="65"/>
  <c r="U42" i="65" s="1"/>
  <c r="T35" i="65"/>
  <c r="AC24" i="65"/>
  <c r="AA23" i="65"/>
  <c r="Z23" i="65"/>
  <c r="Y23" i="65"/>
  <c r="X23" i="65"/>
  <c r="W23" i="65"/>
  <c r="V23" i="65"/>
  <c r="U23" i="65"/>
  <c r="T23" i="65"/>
  <c r="AA22" i="65"/>
  <c r="Z22" i="65"/>
  <c r="Y22" i="65"/>
  <c r="X22" i="65"/>
  <c r="W22" i="65"/>
  <c r="V22" i="65"/>
  <c r="U22" i="65"/>
  <c r="T22" i="65"/>
  <c r="AA21" i="65"/>
  <c r="Z21" i="65"/>
  <c r="Y21" i="65"/>
  <c r="X21" i="65"/>
  <c r="W21" i="65"/>
  <c r="V21" i="65"/>
  <c r="U21" i="65"/>
  <c r="T21" i="65"/>
  <c r="AA20" i="65"/>
  <c r="Z20" i="65"/>
  <c r="Y20" i="65"/>
  <c r="X20" i="65"/>
  <c r="W20" i="65"/>
  <c r="V20" i="65"/>
  <c r="U20" i="65"/>
  <c r="T20" i="65"/>
  <c r="AA19" i="65"/>
  <c r="Z19" i="65"/>
  <c r="Y19" i="65"/>
  <c r="X19" i="65"/>
  <c r="W19" i="65"/>
  <c r="V19" i="65"/>
  <c r="U19" i="65"/>
  <c r="T19" i="65"/>
  <c r="AA18" i="65"/>
  <c r="Z18" i="65"/>
  <c r="Y18" i="65"/>
  <c r="X18" i="65"/>
  <c r="W18" i="65"/>
  <c r="V18" i="65"/>
  <c r="U18" i="65"/>
  <c r="T18" i="65"/>
  <c r="AA17" i="65"/>
  <c r="Z17" i="65"/>
  <c r="Z24" i="65" s="1"/>
  <c r="Y17" i="65"/>
  <c r="X17" i="65"/>
  <c r="W17" i="65"/>
  <c r="V17" i="65"/>
  <c r="U17" i="65"/>
  <c r="U24" i="65" s="1"/>
  <c r="T17" i="65"/>
  <c r="T9" i="65"/>
  <c r="U9" i="65"/>
  <c r="V9" i="65"/>
  <c r="W9" i="65"/>
  <c r="X9" i="65"/>
  <c r="Y9" i="65"/>
  <c r="Z9" i="65"/>
  <c r="AA9" i="65"/>
  <c r="T10" i="65"/>
  <c r="U10" i="65"/>
  <c r="V10" i="65"/>
  <c r="W10" i="65"/>
  <c r="X10" i="65"/>
  <c r="Y10" i="65"/>
  <c r="Z10" i="65"/>
  <c r="AA10" i="65"/>
  <c r="T11" i="65"/>
  <c r="U11" i="65"/>
  <c r="V11" i="65"/>
  <c r="W11" i="65"/>
  <c r="X11" i="65"/>
  <c r="Y11" i="65"/>
  <c r="Z11" i="65"/>
  <c r="AA11" i="65"/>
  <c r="T12" i="65"/>
  <c r="U12" i="65"/>
  <c r="V12" i="65"/>
  <c r="W12" i="65"/>
  <c r="X12" i="65"/>
  <c r="Y12" i="65"/>
  <c r="Z12" i="65"/>
  <c r="AA12" i="65"/>
  <c r="T13" i="65"/>
  <c r="U13" i="65"/>
  <c r="V13" i="65"/>
  <c r="W13" i="65"/>
  <c r="X13" i="65"/>
  <c r="Y13" i="65"/>
  <c r="Z13" i="65"/>
  <c r="AA13" i="65"/>
  <c r="T14" i="65"/>
  <c r="U14" i="65"/>
  <c r="V14" i="65"/>
  <c r="W14" i="65"/>
  <c r="X14" i="65"/>
  <c r="Y14" i="65"/>
  <c r="Z14" i="65"/>
  <c r="AA14" i="65"/>
  <c r="U8" i="65"/>
  <c r="V8" i="65"/>
  <c r="W8" i="65"/>
  <c r="X8" i="65"/>
  <c r="Y8" i="65"/>
  <c r="Z8" i="65"/>
  <c r="AA8" i="65"/>
  <c r="T8" i="65"/>
  <c r="AC15" i="65"/>
  <c r="N69" i="65"/>
  <c r="L68" i="65"/>
  <c r="K68" i="65"/>
  <c r="J68" i="65"/>
  <c r="I68" i="65"/>
  <c r="L67" i="65"/>
  <c r="K67" i="65"/>
  <c r="J67" i="65"/>
  <c r="I67" i="65"/>
  <c r="L66" i="65"/>
  <c r="K66" i="65"/>
  <c r="J66" i="65"/>
  <c r="I66" i="65"/>
  <c r="L65" i="65"/>
  <c r="K65" i="65"/>
  <c r="J65" i="65"/>
  <c r="I65" i="65"/>
  <c r="L64" i="65"/>
  <c r="K64" i="65"/>
  <c r="J64" i="65"/>
  <c r="I64" i="65"/>
  <c r="L63" i="65"/>
  <c r="K63" i="65"/>
  <c r="J63" i="65"/>
  <c r="I63" i="65"/>
  <c r="L62" i="65"/>
  <c r="K62" i="65"/>
  <c r="J62" i="65"/>
  <c r="I62" i="65"/>
  <c r="N60" i="65"/>
  <c r="L59" i="65"/>
  <c r="K59" i="65"/>
  <c r="J59" i="65"/>
  <c r="I59" i="65"/>
  <c r="L58" i="65"/>
  <c r="K58" i="65"/>
  <c r="J58" i="65"/>
  <c r="I58" i="65"/>
  <c r="L57" i="65"/>
  <c r="K57" i="65"/>
  <c r="J57" i="65"/>
  <c r="I57" i="65"/>
  <c r="L56" i="65"/>
  <c r="K56" i="65"/>
  <c r="J56" i="65"/>
  <c r="I56" i="65"/>
  <c r="L55" i="65"/>
  <c r="K55" i="65"/>
  <c r="J55" i="65"/>
  <c r="I55" i="65"/>
  <c r="L54" i="65"/>
  <c r="K54" i="65"/>
  <c r="J54" i="65"/>
  <c r="I54" i="65"/>
  <c r="L53" i="65"/>
  <c r="K53" i="65"/>
  <c r="J53" i="65"/>
  <c r="I53" i="65"/>
  <c r="N51" i="65"/>
  <c r="L50" i="65"/>
  <c r="K50" i="65"/>
  <c r="J50" i="65"/>
  <c r="I50" i="65"/>
  <c r="L49" i="65"/>
  <c r="K49" i="65"/>
  <c r="J49" i="65"/>
  <c r="I49" i="65"/>
  <c r="L48" i="65"/>
  <c r="K48" i="65"/>
  <c r="J48" i="65"/>
  <c r="I48" i="65"/>
  <c r="L47" i="65"/>
  <c r="K47" i="65"/>
  <c r="J47" i="65"/>
  <c r="I47" i="65"/>
  <c r="L46" i="65"/>
  <c r="K46" i="65"/>
  <c r="J46" i="65"/>
  <c r="I46" i="65"/>
  <c r="L45" i="65"/>
  <c r="K45" i="65"/>
  <c r="J45" i="65"/>
  <c r="I45" i="65"/>
  <c r="L44" i="65"/>
  <c r="K44" i="65"/>
  <c r="J44" i="65"/>
  <c r="I44" i="65"/>
  <c r="N15" i="65"/>
  <c r="N24" i="65"/>
  <c r="N33" i="65"/>
  <c r="N42" i="65"/>
  <c r="L41" i="65"/>
  <c r="K41" i="65"/>
  <c r="J41" i="65"/>
  <c r="I41" i="65"/>
  <c r="L40" i="65"/>
  <c r="K40" i="65"/>
  <c r="J40" i="65"/>
  <c r="I40" i="65"/>
  <c r="L39" i="65"/>
  <c r="K39" i="65"/>
  <c r="J39" i="65"/>
  <c r="I39" i="65"/>
  <c r="L38" i="65"/>
  <c r="K38" i="65"/>
  <c r="J38" i="65"/>
  <c r="I38" i="65"/>
  <c r="L37" i="65"/>
  <c r="K37" i="65"/>
  <c r="J37" i="65"/>
  <c r="I37" i="65"/>
  <c r="L36" i="65"/>
  <c r="K36" i="65"/>
  <c r="J36" i="65"/>
  <c r="I36" i="65"/>
  <c r="L35" i="65"/>
  <c r="K35" i="65"/>
  <c r="J35" i="65"/>
  <c r="I35" i="65"/>
  <c r="L32" i="65"/>
  <c r="K32" i="65"/>
  <c r="J32" i="65"/>
  <c r="I32" i="65"/>
  <c r="L31" i="65"/>
  <c r="K31" i="65"/>
  <c r="J31" i="65"/>
  <c r="I31" i="65"/>
  <c r="L30" i="65"/>
  <c r="K30" i="65"/>
  <c r="J30" i="65"/>
  <c r="I30" i="65"/>
  <c r="L29" i="65"/>
  <c r="K29" i="65"/>
  <c r="J29" i="65"/>
  <c r="I29" i="65"/>
  <c r="L28" i="65"/>
  <c r="K28" i="65"/>
  <c r="J28" i="65"/>
  <c r="I28" i="65"/>
  <c r="L27" i="65"/>
  <c r="K27" i="65"/>
  <c r="J27" i="65"/>
  <c r="I27" i="65"/>
  <c r="L26" i="65"/>
  <c r="K26" i="65"/>
  <c r="J26" i="65"/>
  <c r="I26" i="65"/>
  <c r="J17" i="65"/>
  <c r="K17" i="65"/>
  <c r="L17" i="65"/>
  <c r="J18" i="65"/>
  <c r="K18" i="65"/>
  <c r="L18" i="65"/>
  <c r="J19" i="65"/>
  <c r="K19" i="65"/>
  <c r="L19" i="65"/>
  <c r="J20" i="65"/>
  <c r="K20" i="65"/>
  <c r="L20" i="65"/>
  <c r="J21" i="65"/>
  <c r="K21" i="65"/>
  <c r="L21" i="65"/>
  <c r="J22" i="65"/>
  <c r="K22" i="65"/>
  <c r="L22" i="65"/>
  <c r="J23" i="65"/>
  <c r="K23" i="65"/>
  <c r="L23" i="65"/>
  <c r="I18" i="65"/>
  <c r="I19" i="65"/>
  <c r="I20" i="65"/>
  <c r="I21" i="65"/>
  <c r="I22" i="65"/>
  <c r="I23" i="65"/>
  <c r="I17" i="65"/>
  <c r="E68" i="11" l="1"/>
  <c r="AB8" i="65"/>
  <c r="AA15" i="65"/>
  <c r="Z15" i="65"/>
  <c r="Y15" i="65"/>
  <c r="X15" i="65"/>
  <c r="AB11" i="65"/>
  <c r="AB58" i="65"/>
  <c r="AC71" i="65"/>
  <c r="W15" i="65"/>
  <c r="AB10" i="65"/>
  <c r="K33" i="65"/>
  <c r="V15" i="65"/>
  <c r="AB9" i="65"/>
  <c r="L33" i="65"/>
  <c r="U15" i="65"/>
  <c r="AB14" i="65"/>
  <c r="AB13" i="65"/>
  <c r="AB12" i="65"/>
  <c r="T15" i="65"/>
  <c r="AB35" i="65"/>
  <c r="AB36" i="65"/>
  <c r="AB39" i="65"/>
  <c r="AB40" i="65"/>
  <c r="AB41" i="65"/>
  <c r="V42" i="65"/>
  <c r="I68" i="11"/>
  <c r="H68" i="11"/>
  <c r="G68" i="11"/>
  <c r="F68" i="11"/>
  <c r="X51" i="65"/>
  <c r="Z51" i="65"/>
  <c r="W51" i="65"/>
  <c r="AB44" i="65"/>
  <c r="AB45" i="65"/>
  <c r="AB46" i="65"/>
  <c r="AB47" i="65"/>
  <c r="AB48" i="65"/>
  <c r="AB49" i="65"/>
  <c r="AB50" i="65"/>
  <c r="T51" i="65"/>
  <c r="AB57" i="65"/>
  <c r="AB56" i="65"/>
  <c r="AB55" i="65"/>
  <c r="AB54" i="65"/>
  <c r="AA60" i="65"/>
  <c r="AB53" i="65"/>
  <c r="V60" i="65"/>
  <c r="X60" i="65"/>
  <c r="U60" i="65"/>
  <c r="AB59" i="65"/>
  <c r="T60" i="65"/>
  <c r="AA69" i="65"/>
  <c r="W69" i="65"/>
  <c r="V69" i="65"/>
  <c r="X69" i="65"/>
  <c r="AB62" i="65"/>
  <c r="T69" i="65"/>
  <c r="AB64" i="65"/>
  <c r="AB65" i="65"/>
  <c r="AB66" i="65"/>
  <c r="AB67" i="65"/>
  <c r="AB68" i="65"/>
  <c r="AB63" i="65"/>
  <c r="U33" i="65"/>
  <c r="V33" i="65"/>
  <c r="Y33" i="65"/>
  <c r="X33" i="65"/>
  <c r="AA33" i="65"/>
  <c r="AB27" i="65"/>
  <c r="AB28" i="65"/>
  <c r="AB29" i="65"/>
  <c r="AB30" i="65"/>
  <c r="AB31" i="65"/>
  <c r="AB32" i="65"/>
  <c r="AB26" i="65"/>
  <c r="AA42" i="65"/>
  <c r="AB38" i="65"/>
  <c r="AB37" i="65"/>
  <c r="W42" i="65"/>
  <c r="Z42" i="65"/>
  <c r="X42" i="65"/>
  <c r="T42" i="65"/>
  <c r="W24" i="65"/>
  <c r="Y24" i="65"/>
  <c r="X24" i="65"/>
  <c r="V24" i="65"/>
  <c r="AA24" i="65"/>
  <c r="AB17" i="65"/>
  <c r="AB18" i="65"/>
  <c r="AB19" i="65"/>
  <c r="AB20" i="65"/>
  <c r="AB21" i="65"/>
  <c r="AB22" i="65"/>
  <c r="AB23" i="65"/>
  <c r="T24" i="65"/>
  <c r="M37" i="65"/>
  <c r="M41" i="65"/>
  <c r="N71" i="65"/>
  <c r="M35" i="65"/>
  <c r="M63" i="65"/>
  <c r="M65" i="65"/>
  <c r="L69" i="65"/>
  <c r="M67" i="65"/>
  <c r="J33" i="65"/>
  <c r="J69" i="65"/>
  <c r="M66" i="65"/>
  <c r="M68" i="65"/>
  <c r="M62" i="65"/>
  <c r="I33" i="65"/>
  <c r="K69" i="65"/>
  <c r="M64" i="65"/>
  <c r="I69" i="65"/>
  <c r="M30" i="65"/>
  <c r="M31" i="65"/>
  <c r="M48" i="65"/>
  <c r="M53" i="65"/>
  <c r="M59" i="65"/>
  <c r="M57" i="65"/>
  <c r="J60" i="65"/>
  <c r="M54" i="65"/>
  <c r="K60" i="65"/>
  <c r="M55" i="65"/>
  <c r="L60" i="65"/>
  <c r="M56" i="65"/>
  <c r="M58" i="65"/>
  <c r="I60" i="65"/>
  <c r="K51" i="65"/>
  <c r="M49" i="65"/>
  <c r="M44" i="65"/>
  <c r="M50" i="65"/>
  <c r="J51" i="65"/>
  <c r="M46" i="65"/>
  <c r="L51" i="65"/>
  <c r="M45" i="65"/>
  <c r="M47" i="65"/>
  <c r="I51" i="65"/>
  <c r="M40" i="65"/>
  <c r="L42" i="65"/>
  <c r="J42" i="65"/>
  <c r="K42" i="65"/>
  <c r="M39" i="65"/>
  <c r="M36" i="65"/>
  <c r="M38" i="65"/>
  <c r="I42" i="65"/>
  <c r="M22" i="65"/>
  <c r="M21" i="65"/>
  <c r="J24" i="65"/>
  <c r="M27" i="65"/>
  <c r="M29" i="65"/>
  <c r="K24" i="65"/>
  <c r="M28" i="65"/>
  <c r="L24" i="65"/>
  <c r="M26" i="65"/>
  <c r="M32" i="65"/>
  <c r="M20" i="65"/>
  <c r="M18" i="65"/>
  <c r="M19" i="65"/>
  <c r="M23" i="65"/>
  <c r="I24" i="65"/>
  <c r="M17" i="65"/>
  <c r="J8" i="65"/>
  <c r="K8" i="65"/>
  <c r="L8" i="65"/>
  <c r="J9" i="65"/>
  <c r="K9" i="65"/>
  <c r="L9" i="65"/>
  <c r="J10" i="65"/>
  <c r="K10" i="65"/>
  <c r="L10" i="65"/>
  <c r="J11" i="65"/>
  <c r="K11" i="65"/>
  <c r="L11" i="65"/>
  <c r="J12" i="65"/>
  <c r="K12" i="65"/>
  <c r="L12" i="65"/>
  <c r="J13" i="65"/>
  <c r="K13" i="65"/>
  <c r="L13" i="65"/>
  <c r="J14" i="65"/>
  <c r="K14" i="65"/>
  <c r="L14" i="65"/>
  <c r="I9" i="65"/>
  <c r="I10" i="65"/>
  <c r="I11" i="65"/>
  <c r="I12" i="65"/>
  <c r="I13" i="65"/>
  <c r="I14" i="65"/>
  <c r="I8" i="65"/>
  <c r="J68" i="11" l="1"/>
  <c r="L68" i="11"/>
  <c r="N68" i="11"/>
  <c r="P68" i="11"/>
  <c r="O68" i="11"/>
  <c r="K68" i="11"/>
  <c r="M68" i="11"/>
  <c r="X71" i="65"/>
  <c r="Z71" i="65"/>
  <c r="AB15" i="65"/>
  <c r="Y71" i="65"/>
  <c r="U71" i="65"/>
  <c r="V71" i="65"/>
  <c r="W71" i="65"/>
  <c r="AA71" i="65"/>
  <c r="T71" i="65"/>
  <c r="Q68" i="11"/>
  <c r="AB51" i="65"/>
  <c r="AB60" i="65"/>
  <c r="AB69" i="65"/>
  <c r="AB33" i="65"/>
  <c r="AB42" i="65"/>
  <c r="AB24" i="65"/>
  <c r="M69" i="65"/>
  <c r="M11" i="65"/>
  <c r="I15" i="65"/>
  <c r="I71" i="65" s="1"/>
  <c r="M13" i="65"/>
  <c r="K15" i="65"/>
  <c r="K71" i="65" s="1"/>
  <c r="M33" i="65"/>
  <c r="M60" i="65"/>
  <c r="M51" i="65"/>
  <c r="M42" i="65"/>
  <c r="M14" i="65"/>
  <c r="M10" i="65"/>
  <c r="J15" i="65"/>
  <c r="J71" i="65" s="1"/>
  <c r="L15" i="65"/>
  <c r="L71" i="65" s="1"/>
  <c r="M9" i="65"/>
  <c r="M12" i="65"/>
  <c r="M24" i="65"/>
  <c r="M8" i="65"/>
  <c r="S68" i="11" l="1"/>
  <c r="AB71" i="65"/>
  <c r="M15" i="65"/>
  <c r="M71" i="65" l="1"/>
  <c r="Q33" i="11"/>
  <c r="D32" i="11"/>
  <c r="Q32" i="11" s="1"/>
  <c r="D31" i="11"/>
  <c r="Q31" i="11" s="1"/>
  <c r="E67" i="11" l="1"/>
  <c r="H20" i="11" l="1"/>
  <c r="H19" i="11"/>
  <c r="H18" i="11"/>
  <c r="H22" i="11"/>
  <c r="H28" i="11"/>
  <c r="H27" i="11"/>
  <c r="H26" i="11"/>
  <c r="H25" i="11"/>
  <c r="H24" i="11"/>
  <c r="H23" i="11"/>
  <c r="M9" i="54"/>
  <c r="M10" i="54"/>
  <c r="M11" i="54"/>
  <c r="M12" i="54"/>
  <c r="M13" i="54"/>
  <c r="M14" i="54"/>
  <c r="M15" i="54"/>
  <c r="M16" i="54"/>
  <c r="M17" i="54"/>
  <c r="M18" i="54"/>
  <c r="M19" i="54"/>
  <c r="M20" i="54"/>
  <c r="M21" i="54"/>
  <c r="M22" i="54"/>
  <c r="M23" i="54"/>
  <c r="M24" i="54"/>
  <c r="M25" i="54"/>
  <c r="M26" i="54"/>
  <c r="M27" i="54"/>
  <c r="M28" i="54"/>
  <c r="M29" i="54"/>
  <c r="M30" i="54"/>
  <c r="M31" i="54"/>
  <c r="M32" i="54"/>
  <c r="M33" i="54"/>
  <c r="M34" i="54"/>
  <c r="M35" i="54"/>
  <c r="M36" i="54"/>
  <c r="M37" i="54"/>
  <c r="M38" i="54"/>
  <c r="M39" i="54"/>
  <c r="M40" i="54"/>
  <c r="M41" i="54"/>
  <c r="M42" i="54"/>
  <c r="M43" i="54"/>
  <c r="M44" i="54"/>
  <c r="M45" i="54"/>
  <c r="M46" i="54"/>
  <c r="M47" i="54"/>
  <c r="M48" i="54"/>
  <c r="M49" i="54"/>
  <c r="M50" i="54"/>
  <c r="M51" i="54"/>
  <c r="M52" i="54"/>
  <c r="M53" i="54"/>
  <c r="M54" i="54"/>
  <c r="M55" i="54"/>
  <c r="M56" i="54"/>
  <c r="M57" i="54"/>
  <c r="M58" i="54"/>
  <c r="M59" i="54"/>
  <c r="M60" i="54"/>
  <c r="M61" i="54"/>
  <c r="M62" i="54"/>
  <c r="M63" i="54"/>
  <c r="M64" i="54"/>
  <c r="M65" i="54"/>
  <c r="M66" i="54"/>
  <c r="M67" i="54"/>
  <c r="M68" i="54"/>
  <c r="M69" i="54"/>
  <c r="M70" i="54"/>
  <c r="M8" i="54"/>
  <c r="H29" i="11" l="1"/>
  <c r="O63" i="11"/>
  <c r="P63" i="11"/>
  <c r="M63" i="11"/>
  <c r="I63" i="11"/>
  <c r="N63" i="11"/>
  <c r="J63" i="11"/>
  <c r="H63" i="11"/>
  <c r="K63" i="11"/>
  <c r="L63" i="11"/>
  <c r="H71" i="62"/>
  <c r="I71" i="62"/>
  <c r="J71" i="62"/>
  <c r="P74" i="62" l="1"/>
  <c r="P75" i="62"/>
  <c r="P76" i="62"/>
  <c r="P77" i="62"/>
  <c r="P78" i="62"/>
  <c r="P79" i="62"/>
  <c r="P80" i="62"/>
  <c r="P81" i="62"/>
  <c r="P82" i="62"/>
  <c r="P83" i="62"/>
  <c r="P84" i="62"/>
  <c r="P85" i="62"/>
  <c r="P86" i="62"/>
  <c r="P87" i="62"/>
  <c r="P88" i="62"/>
  <c r="P89" i="62"/>
  <c r="P90" i="62"/>
  <c r="P91" i="62"/>
  <c r="P92" i="62"/>
  <c r="P93" i="62"/>
  <c r="P94" i="62"/>
  <c r="P95" i="62"/>
  <c r="P96" i="62"/>
  <c r="P97" i="62"/>
  <c r="P98" i="62"/>
  <c r="P99" i="62"/>
  <c r="P100" i="62"/>
  <c r="P101" i="62"/>
  <c r="P102" i="62"/>
  <c r="P103" i="62"/>
  <c r="P104" i="62"/>
  <c r="P105" i="62"/>
  <c r="P106" i="62"/>
  <c r="P107" i="62"/>
  <c r="P108" i="62"/>
  <c r="P109" i="62"/>
  <c r="P110" i="62"/>
  <c r="P111" i="62"/>
  <c r="P112" i="62"/>
  <c r="P113" i="62"/>
  <c r="P114" i="62"/>
  <c r="P115" i="62"/>
  <c r="P116" i="62"/>
  <c r="P117" i="62"/>
  <c r="P118" i="62"/>
  <c r="P119" i="62"/>
  <c r="P120" i="62"/>
  <c r="P121" i="62"/>
  <c r="P122" i="62"/>
  <c r="P123" i="62"/>
  <c r="P124" i="62"/>
  <c r="P125" i="62"/>
  <c r="P126" i="62"/>
  <c r="P127" i="62"/>
  <c r="P128" i="62"/>
  <c r="P129" i="62"/>
  <c r="P130" i="62"/>
  <c r="P131" i="62"/>
  <c r="P132" i="62"/>
  <c r="P133" i="62"/>
  <c r="P134" i="62"/>
  <c r="P135" i="62"/>
  <c r="P136" i="62"/>
  <c r="P137" i="62"/>
  <c r="P138" i="62"/>
  <c r="P139" i="62"/>
  <c r="P140" i="62"/>
  <c r="P141" i="62"/>
  <c r="P142" i="62"/>
  <c r="P143" i="62"/>
  <c r="P144" i="62"/>
  <c r="P145" i="62"/>
  <c r="P146" i="62"/>
  <c r="P147" i="62"/>
  <c r="P148" i="62"/>
  <c r="P149" i="62"/>
  <c r="P150" i="62"/>
  <c r="P151" i="62"/>
  <c r="P152" i="62"/>
  <c r="P153" i="62"/>
  <c r="P154" i="62"/>
  <c r="P155" i="62"/>
  <c r="P156" i="62"/>
  <c r="P157" i="62"/>
  <c r="P158" i="62"/>
  <c r="P159" i="62"/>
  <c r="P160" i="62"/>
  <c r="P161" i="62"/>
  <c r="P162" i="62"/>
  <c r="P163" i="62"/>
  <c r="P164" i="62"/>
  <c r="P165" i="62"/>
  <c r="P166" i="62"/>
  <c r="P167" i="62"/>
  <c r="P168" i="62"/>
  <c r="P169" i="62"/>
  <c r="P170" i="62"/>
  <c r="P171" i="62"/>
  <c r="P172" i="62"/>
  <c r="P173" i="62"/>
  <c r="M174" i="54" s="1"/>
  <c r="P174" i="62"/>
  <c r="P175" i="62"/>
  <c r="P176" i="62"/>
  <c r="P177" i="62"/>
  <c r="P178" i="62"/>
  <c r="P179" i="62"/>
  <c r="P180" i="62"/>
  <c r="P181" i="62"/>
  <c r="P182" i="62"/>
  <c r="P183" i="62"/>
  <c r="P184" i="62"/>
  <c r="P185" i="62"/>
  <c r="P186" i="62"/>
  <c r="P187" i="62"/>
  <c r="P188" i="62"/>
  <c r="P189" i="62"/>
  <c r="P190" i="62"/>
  <c r="P191" i="62"/>
  <c r="P192" i="62"/>
  <c r="P193" i="62"/>
  <c r="P194" i="62"/>
  <c r="P195" i="62"/>
  <c r="P196" i="62"/>
  <c r="P197" i="62"/>
  <c r="P198" i="62"/>
  <c r="P199" i="62"/>
  <c r="P200" i="62"/>
  <c r="P201" i="62"/>
  <c r="P202" i="62"/>
  <c r="P203" i="62"/>
  <c r="P204" i="62"/>
  <c r="P205" i="62"/>
  <c r="P206" i="62"/>
  <c r="P207" i="62"/>
  <c r="P208" i="62"/>
  <c r="P209" i="62"/>
  <c r="P210" i="62"/>
  <c r="P211" i="62"/>
  <c r="P212" i="62"/>
  <c r="P213" i="62"/>
  <c r="P214" i="62"/>
  <c r="P215" i="62"/>
  <c r="P216" i="62"/>
  <c r="P217" i="62"/>
  <c r="P218" i="62"/>
  <c r="P73" i="62"/>
  <c r="P9" i="62"/>
  <c r="P10" i="62"/>
  <c r="M71" i="62"/>
  <c r="N71" i="62"/>
  <c r="P12" i="62"/>
  <c r="P13" i="62"/>
  <c r="P14" i="62"/>
  <c r="P15" i="62"/>
  <c r="P16" i="62"/>
  <c r="O71" i="62"/>
  <c r="P17" i="62"/>
  <c r="P18" i="62"/>
  <c r="P19" i="62"/>
  <c r="P20" i="62"/>
  <c r="P21" i="62"/>
  <c r="P22" i="62"/>
  <c r="P23" i="62"/>
  <c r="P24" i="62"/>
  <c r="P25" i="62"/>
  <c r="P26" i="62"/>
  <c r="P27" i="62"/>
  <c r="P28" i="62"/>
  <c r="P29" i="62"/>
  <c r="P30" i="62"/>
  <c r="P31" i="62"/>
  <c r="P32" i="62"/>
  <c r="P33" i="62"/>
  <c r="P34" i="62"/>
  <c r="P35" i="62"/>
  <c r="P36" i="62"/>
  <c r="P37" i="62"/>
  <c r="P38" i="62"/>
  <c r="P39" i="62"/>
  <c r="P40" i="62"/>
  <c r="P41" i="62"/>
  <c r="P42" i="62"/>
  <c r="P43" i="62"/>
  <c r="P44" i="62"/>
  <c r="P45" i="62"/>
  <c r="P46" i="62"/>
  <c r="P47" i="62"/>
  <c r="P48" i="62"/>
  <c r="P49" i="62"/>
  <c r="P50" i="62"/>
  <c r="P51" i="62"/>
  <c r="P52" i="62"/>
  <c r="P53" i="62"/>
  <c r="P54" i="62"/>
  <c r="P55" i="62"/>
  <c r="P56" i="62"/>
  <c r="P57" i="62"/>
  <c r="P58" i="62"/>
  <c r="P59" i="62"/>
  <c r="P60" i="62"/>
  <c r="P61" i="62"/>
  <c r="P62" i="62"/>
  <c r="P63" i="62"/>
  <c r="P64" i="62"/>
  <c r="P65" i="62"/>
  <c r="P66" i="62"/>
  <c r="P67" i="62"/>
  <c r="P68" i="62"/>
  <c r="P69" i="62"/>
  <c r="P70" i="62"/>
  <c r="P8" i="62"/>
  <c r="P11" i="62" l="1"/>
  <c r="D18" i="11"/>
  <c r="D19" i="11"/>
  <c r="D20" i="11"/>
  <c r="F55" i="11" l="1"/>
  <c r="G54" i="11"/>
  <c r="E53" i="11"/>
  <c r="Q20" i="11"/>
  <c r="F54" i="11"/>
  <c r="G55" i="11"/>
  <c r="G53" i="11"/>
  <c r="F53" i="11"/>
  <c r="E54" i="11"/>
  <c r="E55" i="11"/>
  <c r="L54" i="11" l="1"/>
  <c r="N54" i="11"/>
  <c r="O54" i="11"/>
  <c r="L53" i="11"/>
  <c r="I55" i="11"/>
  <c r="H53" i="11"/>
  <c r="J53" i="11"/>
  <c r="H55" i="11"/>
  <c r="Q55" i="11" s="1"/>
  <c r="N55" i="11"/>
  <c r="K54" i="11"/>
  <c r="N53" i="11"/>
  <c r="M54" i="11"/>
  <c r="M53" i="11"/>
  <c r="J54" i="11"/>
  <c r="K55" i="11"/>
  <c r="I53" i="11"/>
  <c r="M55" i="11"/>
  <c r="O53" i="11"/>
  <c r="L55" i="11"/>
  <c r="P53" i="11"/>
  <c r="H54" i="11"/>
  <c r="P54" i="11"/>
  <c r="J55" i="11"/>
  <c r="O55" i="11"/>
  <c r="I54" i="11"/>
  <c r="K53" i="11"/>
  <c r="P55" i="11"/>
  <c r="Q53" i="11" l="1"/>
  <c r="Q54" i="11"/>
  <c r="H66" i="11"/>
  <c r="I66" i="11"/>
  <c r="K74" i="64" l="1"/>
  <c r="P75" i="54" s="1"/>
  <c r="K75" i="64"/>
  <c r="P76" i="54" s="1"/>
  <c r="K76" i="64"/>
  <c r="P77" i="54" s="1"/>
  <c r="K77" i="64"/>
  <c r="P78" i="54" s="1"/>
  <c r="K78" i="64"/>
  <c r="P79" i="54" s="1"/>
  <c r="K79" i="64"/>
  <c r="P80" i="54" s="1"/>
  <c r="K80" i="64"/>
  <c r="P81" i="54" s="1"/>
  <c r="K81" i="64"/>
  <c r="P82" i="54" s="1"/>
  <c r="K82" i="64"/>
  <c r="P83" i="54" s="1"/>
  <c r="K83" i="64"/>
  <c r="P84" i="54" s="1"/>
  <c r="K84" i="64"/>
  <c r="P85" i="54" s="1"/>
  <c r="K85" i="64"/>
  <c r="P86" i="54" s="1"/>
  <c r="K86" i="64"/>
  <c r="P87" i="54" s="1"/>
  <c r="K87" i="64"/>
  <c r="P88" i="54" s="1"/>
  <c r="K88" i="64"/>
  <c r="P89" i="54" s="1"/>
  <c r="K89" i="64"/>
  <c r="P90" i="54" s="1"/>
  <c r="K90" i="64"/>
  <c r="P91" i="54" s="1"/>
  <c r="K91" i="64"/>
  <c r="P92" i="54" s="1"/>
  <c r="K92" i="64"/>
  <c r="P93" i="54" s="1"/>
  <c r="K93" i="64"/>
  <c r="P94" i="54" s="1"/>
  <c r="K94" i="64"/>
  <c r="P95" i="54" s="1"/>
  <c r="K95" i="64"/>
  <c r="P96" i="54" s="1"/>
  <c r="K96" i="64"/>
  <c r="P97" i="54" s="1"/>
  <c r="K97" i="64"/>
  <c r="P98" i="54" s="1"/>
  <c r="K98" i="64"/>
  <c r="P99" i="54" s="1"/>
  <c r="K99" i="64"/>
  <c r="P100" i="54" s="1"/>
  <c r="K100" i="64"/>
  <c r="P101" i="54" s="1"/>
  <c r="K101" i="64"/>
  <c r="P102" i="54" s="1"/>
  <c r="K102" i="64"/>
  <c r="P103" i="54" s="1"/>
  <c r="K103" i="64"/>
  <c r="P104" i="54" s="1"/>
  <c r="K104" i="64"/>
  <c r="P105" i="54" s="1"/>
  <c r="K105" i="64"/>
  <c r="P106" i="54" s="1"/>
  <c r="K106" i="64"/>
  <c r="P107" i="54" s="1"/>
  <c r="K107" i="64"/>
  <c r="P108" i="54" s="1"/>
  <c r="K108" i="64"/>
  <c r="P109" i="54" s="1"/>
  <c r="K109" i="64"/>
  <c r="P110" i="54" s="1"/>
  <c r="K110" i="64"/>
  <c r="P111" i="54" s="1"/>
  <c r="K111" i="64"/>
  <c r="P112" i="54" s="1"/>
  <c r="K112" i="64"/>
  <c r="P113" i="54" s="1"/>
  <c r="K113" i="64"/>
  <c r="P114" i="54" s="1"/>
  <c r="K114" i="64"/>
  <c r="P115" i="54" s="1"/>
  <c r="K115" i="64"/>
  <c r="P116" i="54" s="1"/>
  <c r="K116" i="64"/>
  <c r="P117" i="54" s="1"/>
  <c r="K117" i="64"/>
  <c r="P118" i="54" s="1"/>
  <c r="K118" i="64"/>
  <c r="P119" i="54" s="1"/>
  <c r="K119" i="64"/>
  <c r="P120" i="54" s="1"/>
  <c r="K120" i="64"/>
  <c r="P121" i="54" s="1"/>
  <c r="K121" i="64"/>
  <c r="P122" i="54" s="1"/>
  <c r="K122" i="64"/>
  <c r="P123" i="54" s="1"/>
  <c r="K123" i="64"/>
  <c r="P124" i="54" s="1"/>
  <c r="K124" i="64"/>
  <c r="P125" i="54" s="1"/>
  <c r="K125" i="64"/>
  <c r="P126" i="54" s="1"/>
  <c r="K126" i="64"/>
  <c r="P127" i="54" s="1"/>
  <c r="K127" i="64"/>
  <c r="P128" i="54" s="1"/>
  <c r="K128" i="64"/>
  <c r="P129" i="54" s="1"/>
  <c r="K129" i="64"/>
  <c r="P130" i="54" s="1"/>
  <c r="K130" i="64"/>
  <c r="P131" i="54" s="1"/>
  <c r="K131" i="64"/>
  <c r="P132" i="54" s="1"/>
  <c r="K132" i="64"/>
  <c r="P133" i="54" s="1"/>
  <c r="K133" i="64"/>
  <c r="P134" i="54" s="1"/>
  <c r="K134" i="64"/>
  <c r="P135" i="54" s="1"/>
  <c r="K135" i="64"/>
  <c r="P136" i="54" s="1"/>
  <c r="K136" i="64"/>
  <c r="P137" i="54" s="1"/>
  <c r="K137" i="64"/>
  <c r="P138" i="54" s="1"/>
  <c r="K138" i="64"/>
  <c r="P139" i="54" s="1"/>
  <c r="K139" i="64"/>
  <c r="P140" i="54" s="1"/>
  <c r="K140" i="64"/>
  <c r="P141" i="54" s="1"/>
  <c r="K141" i="64"/>
  <c r="P142" i="54" s="1"/>
  <c r="K142" i="64"/>
  <c r="P143" i="54" s="1"/>
  <c r="K143" i="64"/>
  <c r="P144" i="54" s="1"/>
  <c r="K144" i="64"/>
  <c r="P145" i="54" s="1"/>
  <c r="K145" i="64"/>
  <c r="P146" i="54" s="1"/>
  <c r="K146" i="64"/>
  <c r="P147" i="54" s="1"/>
  <c r="K147" i="64"/>
  <c r="P148" i="54" s="1"/>
  <c r="K148" i="64"/>
  <c r="P149" i="54" s="1"/>
  <c r="K149" i="64"/>
  <c r="P150" i="54" s="1"/>
  <c r="K150" i="64"/>
  <c r="P151" i="54" s="1"/>
  <c r="K151" i="64"/>
  <c r="P152" i="54" s="1"/>
  <c r="K152" i="64"/>
  <c r="P153" i="54" s="1"/>
  <c r="K153" i="64"/>
  <c r="P154" i="54" s="1"/>
  <c r="K154" i="64"/>
  <c r="P155" i="54" s="1"/>
  <c r="K155" i="64"/>
  <c r="P156" i="54" s="1"/>
  <c r="K156" i="64"/>
  <c r="P157" i="54" s="1"/>
  <c r="K157" i="64"/>
  <c r="P158" i="54" s="1"/>
  <c r="K158" i="64"/>
  <c r="P159" i="54" s="1"/>
  <c r="K159" i="64"/>
  <c r="P160" i="54" s="1"/>
  <c r="K160" i="64"/>
  <c r="P161" i="54" s="1"/>
  <c r="K161" i="64"/>
  <c r="P162" i="54" s="1"/>
  <c r="K162" i="64"/>
  <c r="P163" i="54" s="1"/>
  <c r="K163" i="64"/>
  <c r="P164" i="54" s="1"/>
  <c r="K164" i="64"/>
  <c r="P165" i="54" s="1"/>
  <c r="K165" i="64"/>
  <c r="P166" i="54" s="1"/>
  <c r="K166" i="64"/>
  <c r="P167" i="54" s="1"/>
  <c r="K167" i="64"/>
  <c r="P168" i="54" s="1"/>
  <c r="K168" i="64"/>
  <c r="P169" i="54" s="1"/>
  <c r="K169" i="64"/>
  <c r="P170" i="54" s="1"/>
  <c r="K170" i="64"/>
  <c r="P171" i="54" s="1"/>
  <c r="K171" i="64"/>
  <c r="P172" i="54" s="1"/>
  <c r="K172" i="64"/>
  <c r="P173" i="54" s="1"/>
  <c r="K173" i="64"/>
  <c r="P174" i="54" s="1"/>
  <c r="K174" i="64"/>
  <c r="P175" i="54" s="1"/>
  <c r="K175" i="64"/>
  <c r="P176" i="54" s="1"/>
  <c r="K176" i="64"/>
  <c r="P177" i="54" s="1"/>
  <c r="K177" i="64"/>
  <c r="P178" i="54" s="1"/>
  <c r="K178" i="64"/>
  <c r="P179" i="54" s="1"/>
  <c r="K179" i="64"/>
  <c r="P180" i="54" s="1"/>
  <c r="K180" i="64"/>
  <c r="P181" i="54" s="1"/>
  <c r="K181" i="64"/>
  <c r="P182" i="54" s="1"/>
  <c r="K182" i="64"/>
  <c r="P183" i="54" s="1"/>
  <c r="K183" i="64"/>
  <c r="P184" i="54" s="1"/>
  <c r="K184" i="64"/>
  <c r="P185" i="54" s="1"/>
  <c r="K185" i="64"/>
  <c r="P186" i="54" s="1"/>
  <c r="K186" i="64"/>
  <c r="P187" i="54" s="1"/>
  <c r="K187" i="64"/>
  <c r="P188" i="54" s="1"/>
  <c r="K188" i="64"/>
  <c r="P189" i="54" s="1"/>
  <c r="K189" i="64"/>
  <c r="P190" i="54" s="1"/>
  <c r="K190" i="64"/>
  <c r="P191" i="54" s="1"/>
  <c r="K191" i="64"/>
  <c r="P192" i="54" s="1"/>
  <c r="K192" i="64"/>
  <c r="P193" i="54" s="1"/>
  <c r="K193" i="64"/>
  <c r="P194" i="54" s="1"/>
  <c r="K194" i="64"/>
  <c r="P195" i="54" s="1"/>
  <c r="K195" i="64"/>
  <c r="P196" i="54" s="1"/>
  <c r="K196" i="64"/>
  <c r="P197" i="54" s="1"/>
  <c r="K197" i="64"/>
  <c r="P198" i="54" s="1"/>
  <c r="K198" i="64"/>
  <c r="P199" i="54" s="1"/>
  <c r="K199" i="64"/>
  <c r="P200" i="54" s="1"/>
  <c r="K200" i="64"/>
  <c r="P201" i="54" s="1"/>
  <c r="K201" i="64"/>
  <c r="P202" i="54" s="1"/>
  <c r="K202" i="64"/>
  <c r="P203" i="54" s="1"/>
  <c r="K203" i="64"/>
  <c r="P204" i="54" s="1"/>
  <c r="K204" i="64"/>
  <c r="P205" i="54" s="1"/>
  <c r="K205" i="64"/>
  <c r="P71" i="54" s="1"/>
  <c r="K206" i="64"/>
  <c r="P207" i="54" s="1"/>
  <c r="K207" i="64"/>
  <c r="P208" i="54" s="1"/>
  <c r="K208" i="64"/>
  <c r="P209" i="54" s="1"/>
  <c r="K209" i="64"/>
  <c r="P210" i="54" s="1"/>
  <c r="K210" i="64"/>
  <c r="P211" i="54" s="1"/>
  <c r="K211" i="64"/>
  <c r="P212" i="54" s="1"/>
  <c r="K212" i="64"/>
  <c r="P213" i="54" s="1"/>
  <c r="K213" i="64"/>
  <c r="P214" i="54" s="1"/>
  <c r="K214" i="64"/>
  <c r="P215" i="54" s="1"/>
  <c r="K215" i="64"/>
  <c r="P216" i="54" s="1"/>
  <c r="K216" i="64"/>
  <c r="P217" i="54" s="1"/>
  <c r="K217" i="64"/>
  <c r="P218" i="54" s="1"/>
  <c r="K218" i="64"/>
  <c r="P219" i="54" s="1"/>
  <c r="K73" i="64"/>
  <c r="P74" i="54" s="1"/>
  <c r="J71" i="64"/>
  <c r="K9" i="64"/>
  <c r="P9" i="54" s="1"/>
  <c r="K10" i="64"/>
  <c r="P10" i="54" s="1"/>
  <c r="K11" i="64"/>
  <c r="P11" i="54" s="1"/>
  <c r="K12" i="64"/>
  <c r="P12" i="54" s="1"/>
  <c r="K13" i="64"/>
  <c r="P13" i="54" s="1"/>
  <c r="K14" i="64"/>
  <c r="P14" i="54" s="1"/>
  <c r="K15" i="64"/>
  <c r="P15" i="54" s="1"/>
  <c r="K16" i="64"/>
  <c r="P16" i="54" s="1"/>
  <c r="K17" i="64"/>
  <c r="P17" i="54" s="1"/>
  <c r="K18" i="64"/>
  <c r="P18" i="54" s="1"/>
  <c r="K19" i="64"/>
  <c r="P19" i="54" s="1"/>
  <c r="K20" i="64"/>
  <c r="P20" i="54" s="1"/>
  <c r="K21" i="64"/>
  <c r="P21" i="54" s="1"/>
  <c r="K22" i="64"/>
  <c r="P22" i="54" s="1"/>
  <c r="K23" i="64"/>
  <c r="P23" i="54" s="1"/>
  <c r="K24" i="64"/>
  <c r="P24" i="54" s="1"/>
  <c r="K25" i="64"/>
  <c r="P25" i="54" s="1"/>
  <c r="K26" i="64"/>
  <c r="P26" i="54" s="1"/>
  <c r="K27" i="64"/>
  <c r="P27" i="54" s="1"/>
  <c r="K28" i="64"/>
  <c r="P28" i="54" s="1"/>
  <c r="K29" i="64"/>
  <c r="P29" i="54" s="1"/>
  <c r="K30" i="64"/>
  <c r="P30" i="54" s="1"/>
  <c r="K31" i="64"/>
  <c r="P31" i="54" s="1"/>
  <c r="K32" i="64"/>
  <c r="P32" i="54" s="1"/>
  <c r="K33" i="64"/>
  <c r="P33" i="54" s="1"/>
  <c r="K34" i="64"/>
  <c r="P34" i="54" s="1"/>
  <c r="K35" i="64"/>
  <c r="P35" i="54" s="1"/>
  <c r="K36" i="64"/>
  <c r="P36" i="54" s="1"/>
  <c r="K37" i="64"/>
  <c r="P37" i="54" s="1"/>
  <c r="K38" i="64"/>
  <c r="P38" i="54" s="1"/>
  <c r="K39" i="64"/>
  <c r="P39" i="54" s="1"/>
  <c r="K40" i="64"/>
  <c r="P40" i="54" s="1"/>
  <c r="K41" i="64"/>
  <c r="P41" i="54" s="1"/>
  <c r="K42" i="64"/>
  <c r="P42" i="54" s="1"/>
  <c r="K43" i="64"/>
  <c r="P43" i="54" s="1"/>
  <c r="K44" i="64"/>
  <c r="P44" i="54" s="1"/>
  <c r="K45" i="64"/>
  <c r="P45" i="54" s="1"/>
  <c r="K46" i="64"/>
  <c r="P46" i="54" s="1"/>
  <c r="K47" i="64"/>
  <c r="P47" i="54" s="1"/>
  <c r="K48" i="64"/>
  <c r="P48" i="54" s="1"/>
  <c r="K49" i="64"/>
  <c r="P49" i="54" s="1"/>
  <c r="K50" i="64"/>
  <c r="P50" i="54" s="1"/>
  <c r="K51" i="64"/>
  <c r="P51" i="54" s="1"/>
  <c r="K52" i="64"/>
  <c r="P52" i="54" s="1"/>
  <c r="K53" i="64"/>
  <c r="P53" i="54" s="1"/>
  <c r="K54" i="64"/>
  <c r="P54" i="54" s="1"/>
  <c r="K55" i="64"/>
  <c r="P55" i="54" s="1"/>
  <c r="K56" i="64"/>
  <c r="P56" i="54" s="1"/>
  <c r="K57" i="64"/>
  <c r="P57" i="54" s="1"/>
  <c r="K58" i="64"/>
  <c r="P58" i="54" s="1"/>
  <c r="K59" i="64"/>
  <c r="P59" i="54" s="1"/>
  <c r="K60" i="64"/>
  <c r="P60" i="54" s="1"/>
  <c r="K61" i="64"/>
  <c r="P61" i="54" s="1"/>
  <c r="K62" i="64"/>
  <c r="P62" i="54" s="1"/>
  <c r="K63" i="64"/>
  <c r="P63" i="54" s="1"/>
  <c r="K64" i="64"/>
  <c r="P64" i="54" s="1"/>
  <c r="K65" i="64"/>
  <c r="P65" i="54" s="1"/>
  <c r="K66" i="64"/>
  <c r="P66" i="54" s="1"/>
  <c r="K67" i="64"/>
  <c r="P67" i="54" s="1"/>
  <c r="K68" i="64"/>
  <c r="P68" i="54" s="1"/>
  <c r="K69" i="64"/>
  <c r="P69" i="54" s="1"/>
  <c r="K70" i="64"/>
  <c r="P70" i="54" s="1"/>
  <c r="J219" i="64"/>
  <c r="J221" i="64" s="1"/>
  <c r="F67" i="11"/>
  <c r="G67" i="11"/>
  <c r="H67" i="11"/>
  <c r="I67" i="11"/>
  <c r="J67" i="11"/>
  <c r="K67" i="11"/>
  <c r="L67" i="11"/>
  <c r="M67" i="11"/>
  <c r="N67" i="11"/>
  <c r="O67" i="11"/>
  <c r="P67" i="11"/>
  <c r="F66" i="11"/>
  <c r="G66" i="11"/>
  <c r="J66" i="11"/>
  <c r="K66" i="11"/>
  <c r="L66" i="11"/>
  <c r="M66" i="11"/>
  <c r="N66" i="11"/>
  <c r="O66" i="11"/>
  <c r="P66" i="11"/>
  <c r="E66" i="11"/>
  <c r="Q63" i="11"/>
  <c r="K219" i="64" l="1"/>
  <c r="Q30" i="11"/>
  <c r="E65" i="11"/>
  <c r="Q67" i="11"/>
  <c r="K71" i="64"/>
  <c r="Q66" i="11"/>
  <c r="G65" i="11"/>
  <c r="F65" i="11"/>
  <c r="I219" i="64"/>
  <c r="H219" i="64"/>
  <c r="I71" i="64"/>
  <c r="H71" i="64"/>
  <c r="D27" i="11"/>
  <c r="D26" i="11"/>
  <c r="D25" i="11"/>
  <c r="D24" i="11"/>
  <c r="D23" i="11"/>
  <c r="D22" i="11"/>
  <c r="K221" i="64" l="1"/>
  <c r="G62" i="11"/>
  <c r="F62" i="11"/>
  <c r="E62" i="11"/>
  <c r="G61" i="11"/>
  <c r="E61" i="11"/>
  <c r="F61" i="11"/>
  <c r="F59" i="11"/>
  <c r="E59" i="11"/>
  <c r="G59" i="11"/>
  <c r="E57" i="11"/>
  <c r="F57" i="11"/>
  <c r="G57" i="11"/>
  <c r="F60" i="11"/>
  <c r="E60" i="11"/>
  <c r="G60" i="11"/>
  <c r="F58" i="11"/>
  <c r="E58" i="11"/>
  <c r="G58" i="11"/>
  <c r="H65" i="11"/>
  <c r="I65" i="11"/>
  <c r="H221" i="64"/>
  <c r="I221" i="64"/>
  <c r="W219" i="61"/>
  <c r="V219" i="61"/>
  <c r="U219" i="61"/>
  <c r="T219" i="61"/>
  <c r="S219" i="61"/>
  <c r="R219" i="61"/>
  <c r="Q219" i="61"/>
  <c r="X218" i="61"/>
  <c r="X217" i="61"/>
  <c r="X216" i="61"/>
  <c r="X215" i="61"/>
  <c r="X214" i="61"/>
  <c r="X213" i="61"/>
  <c r="X212" i="61"/>
  <c r="X211" i="61"/>
  <c r="X210" i="61"/>
  <c r="X209" i="61"/>
  <c r="X208" i="61"/>
  <c r="X207" i="61"/>
  <c r="X206" i="61"/>
  <c r="X205" i="61"/>
  <c r="X204" i="61"/>
  <c r="X203" i="61"/>
  <c r="X202" i="61"/>
  <c r="X201" i="61"/>
  <c r="X200" i="61"/>
  <c r="X199" i="61"/>
  <c r="X198" i="61"/>
  <c r="X197" i="61"/>
  <c r="X196" i="61"/>
  <c r="X195" i="61"/>
  <c r="X194" i="61"/>
  <c r="X193" i="61"/>
  <c r="X192" i="61"/>
  <c r="X191" i="61"/>
  <c r="X190" i="61"/>
  <c r="X189" i="61"/>
  <c r="X188" i="61"/>
  <c r="X187" i="61"/>
  <c r="X186" i="61"/>
  <c r="X185" i="61"/>
  <c r="X184" i="61"/>
  <c r="X183" i="61"/>
  <c r="X182" i="61"/>
  <c r="X181" i="61"/>
  <c r="X180" i="61"/>
  <c r="X179" i="61"/>
  <c r="X178" i="61"/>
  <c r="X177" i="61"/>
  <c r="X176" i="61"/>
  <c r="X175" i="61"/>
  <c r="X174" i="61"/>
  <c r="X173" i="61"/>
  <c r="X172" i="61"/>
  <c r="X171" i="61"/>
  <c r="X170" i="61"/>
  <c r="X169" i="61"/>
  <c r="X168" i="61"/>
  <c r="X167" i="61"/>
  <c r="X166" i="61"/>
  <c r="X165" i="61"/>
  <c r="X164" i="61"/>
  <c r="X163" i="61"/>
  <c r="X162" i="61"/>
  <c r="X161" i="61"/>
  <c r="X160" i="61"/>
  <c r="X159" i="61"/>
  <c r="X158" i="61"/>
  <c r="X157" i="61"/>
  <c r="X156" i="61"/>
  <c r="X155" i="61"/>
  <c r="X154" i="61"/>
  <c r="X153" i="61"/>
  <c r="X152" i="61"/>
  <c r="X151" i="61"/>
  <c r="X150" i="61"/>
  <c r="X149" i="61"/>
  <c r="X148" i="61"/>
  <c r="X147" i="61"/>
  <c r="X146" i="61"/>
  <c r="X145" i="61"/>
  <c r="X144" i="61"/>
  <c r="X143" i="61"/>
  <c r="X142" i="61"/>
  <c r="X141" i="61"/>
  <c r="X140" i="61"/>
  <c r="X139" i="61"/>
  <c r="X138" i="61"/>
  <c r="X137" i="61"/>
  <c r="X136" i="61"/>
  <c r="X135" i="61"/>
  <c r="X134" i="61"/>
  <c r="X133" i="61"/>
  <c r="X132" i="61"/>
  <c r="X131" i="61"/>
  <c r="X130" i="61"/>
  <c r="X129" i="61"/>
  <c r="X128" i="61"/>
  <c r="X127" i="61"/>
  <c r="X126" i="61"/>
  <c r="X125" i="61"/>
  <c r="X124" i="61"/>
  <c r="X123" i="61"/>
  <c r="X122" i="61"/>
  <c r="X121" i="61"/>
  <c r="X120" i="61"/>
  <c r="X119" i="61"/>
  <c r="X118" i="61"/>
  <c r="X117" i="61"/>
  <c r="X116" i="61"/>
  <c r="X115" i="61"/>
  <c r="X114" i="61"/>
  <c r="X113" i="61"/>
  <c r="X112" i="61"/>
  <c r="X111" i="61"/>
  <c r="X110" i="61"/>
  <c r="X109" i="61"/>
  <c r="X108" i="61"/>
  <c r="X107" i="61"/>
  <c r="X106" i="61"/>
  <c r="X105" i="61"/>
  <c r="X104" i="61"/>
  <c r="X103" i="61"/>
  <c r="X102" i="61"/>
  <c r="X101" i="61"/>
  <c r="X100" i="61"/>
  <c r="X99" i="61"/>
  <c r="X98" i="61"/>
  <c r="X97" i="61"/>
  <c r="X96" i="61"/>
  <c r="X95" i="61"/>
  <c r="X94" i="61"/>
  <c r="X93" i="61"/>
  <c r="X92" i="61"/>
  <c r="X91" i="61"/>
  <c r="X90" i="61"/>
  <c r="X89" i="61"/>
  <c r="X88" i="61"/>
  <c r="X87" i="61"/>
  <c r="X86" i="61"/>
  <c r="X85" i="61"/>
  <c r="X84" i="61"/>
  <c r="X83" i="61"/>
  <c r="X82" i="61"/>
  <c r="X81" i="61"/>
  <c r="X80" i="61"/>
  <c r="X79" i="61"/>
  <c r="X78" i="61"/>
  <c r="X77" i="61"/>
  <c r="X76" i="61"/>
  <c r="X75" i="61"/>
  <c r="X74" i="61"/>
  <c r="X73" i="61"/>
  <c r="W71" i="61"/>
  <c r="W221" i="61" s="1"/>
  <c r="V71" i="61"/>
  <c r="U71" i="61"/>
  <c r="U221" i="61" s="1"/>
  <c r="T71" i="61"/>
  <c r="S71" i="61"/>
  <c r="S221" i="61" s="1"/>
  <c r="R71" i="61"/>
  <c r="Q71" i="61"/>
  <c r="X70" i="61"/>
  <c r="X69" i="61"/>
  <c r="X68" i="61"/>
  <c r="X67" i="61"/>
  <c r="X66" i="61"/>
  <c r="X65" i="61"/>
  <c r="X64" i="61"/>
  <c r="X63" i="61"/>
  <c r="X62" i="61"/>
  <c r="X61" i="61"/>
  <c r="X60" i="61"/>
  <c r="X59" i="61"/>
  <c r="X58" i="61"/>
  <c r="X57" i="61"/>
  <c r="X56" i="61"/>
  <c r="X55" i="61"/>
  <c r="X54" i="61"/>
  <c r="X53" i="61"/>
  <c r="X52" i="61"/>
  <c r="X51" i="61"/>
  <c r="X50" i="61"/>
  <c r="X49" i="61"/>
  <c r="X48" i="61"/>
  <c r="X47" i="61"/>
  <c r="X46" i="61"/>
  <c r="X45" i="61"/>
  <c r="X44" i="61"/>
  <c r="X43" i="61"/>
  <c r="X42" i="61"/>
  <c r="X41" i="61"/>
  <c r="X40" i="61"/>
  <c r="X39" i="61"/>
  <c r="X38" i="61"/>
  <c r="X37" i="61"/>
  <c r="X36" i="61"/>
  <c r="X35" i="61"/>
  <c r="X34" i="61"/>
  <c r="X33" i="61"/>
  <c r="X32" i="61"/>
  <c r="X31" i="61"/>
  <c r="X30" i="61"/>
  <c r="X29" i="61"/>
  <c r="X28" i="61"/>
  <c r="X27" i="61"/>
  <c r="X26" i="61"/>
  <c r="X25" i="61"/>
  <c r="X24" i="61"/>
  <c r="X23" i="61"/>
  <c r="X22" i="61"/>
  <c r="X21" i="61"/>
  <c r="X20" i="61"/>
  <c r="X19" i="61"/>
  <c r="X18" i="61"/>
  <c r="X17" i="61"/>
  <c r="X16" i="61"/>
  <c r="X15" i="61"/>
  <c r="X14" i="61"/>
  <c r="X13" i="61"/>
  <c r="X12" i="61"/>
  <c r="X11" i="61"/>
  <c r="X10" i="61"/>
  <c r="X9" i="61"/>
  <c r="X8" i="61"/>
  <c r="F97" i="11"/>
  <c r="Q97" i="11" s="1"/>
  <c r="F94" i="11"/>
  <c r="Q94" i="11" s="1"/>
  <c r="F88" i="11"/>
  <c r="Q88" i="11" s="1"/>
  <c r="K8" i="62"/>
  <c r="K74" i="62"/>
  <c r="K75" i="62"/>
  <c r="K76" i="62"/>
  <c r="K77" i="62"/>
  <c r="K78" i="62"/>
  <c r="K79" i="62"/>
  <c r="K80" i="62"/>
  <c r="K81" i="62"/>
  <c r="K82" i="62"/>
  <c r="K83" i="62"/>
  <c r="K84" i="62"/>
  <c r="K85" i="62"/>
  <c r="K86" i="62"/>
  <c r="K87" i="62"/>
  <c r="K88" i="62"/>
  <c r="K89" i="62"/>
  <c r="K90" i="62"/>
  <c r="K91" i="62"/>
  <c r="K92" i="62"/>
  <c r="K93" i="62"/>
  <c r="K94" i="62"/>
  <c r="K95" i="62"/>
  <c r="K96" i="62"/>
  <c r="K97" i="62"/>
  <c r="K98" i="62"/>
  <c r="K99" i="62"/>
  <c r="K100" i="62"/>
  <c r="K101" i="62"/>
  <c r="K102" i="62"/>
  <c r="K103" i="62"/>
  <c r="K104" i="62"/>
  <c r="K105" i="62"/>
  <c r="K106" i="62"/>
  <c r="K107" i="62"/>
  <c r="K108" i="62"/>
  <c r="K109" i="62"/>
  <c r="K110" i="62"/>
  <c r="K111" i="62"/>
  <c r="K112" i="62"/>
  <c r="K113" i="62"/>
  <c r="K114" i="62"/>
  <c r="K115" i="62"/>
  <c r="K116" i="62"/>
  <c r="K117" i="62"/>
  <c r="K118" i="62"/>
  <c r="K119" i="62"/>
  <c r="K120" i="62"/>
  <c r="K121" i="62"/>
  <c r="K122" i="62"/>
  <c r="K123" i="62"/>
  <c r="K124" i="62"/>
  <c r="K125" i="62"/>
  <c r="K126" i="62"/>
  <c r="K127" i="62"/>
  <c r="K128" i="62"/>
  <c r="K129" i="62"/>
  <c r="K130" i="62"/>
  <c r="K131" i="62"/>
  <c r="K132" i="62"/>
  <c r="K133" i="62"/>
  <c r="K134" i="62"/>
  <c r="K135" i="62"/>
  <c r="K136" i="62"/>
  <c r="K137" i="62"/>
  <c r="K138" i="62"/>
  <c r="K139" i="62"/>
  <c r="K140" i="62"/>
  <c r="K141" i="62"/>
  <c r="K142" i="62"/>
  <c r="K143" i="62"/>
  <c r="K144" i="62"/>
  <c r="K145" i="62"/>
  <c r="K146" i="62"/>
  <c r="K147" i="62"/>
  <c r="K148" i="62"/>
  <c r="K149" i="62"/>
  <c r="K150" i="62"/>
  <c r="K151" i="62"/>
  <c r="K152" i="62"/>
  <c r="K153" i="62"/>
  <c r="K154" i="62"/>
  <c r="K155" i="62"/>
  <c r="K156" i="62"/>
  <c r="K157" i="62"/>
  <c r="K158" i="62"/>
  <c r="K159" i="62"/>
  <c r="K160" i="62"/>
  <c r="K161" i="62"/>
  <c r="K162" i="62"/>
  <c r="K163" i="62"/>
  <c r="K164" i="62"/>
  <c r="K165" i="62"/>
  <c r="K166" i="62"/>
  <c r="K167" i="62"/>
  <c r="K168" i="62"/>
  <c r="K169" i="62"/>
  <c r="K170" i="62"/>
  <c r="K171" i="62"/>
  <c r="K172" i="62"/>
  <c r="K173" i="62"/>
  <c r="K174" i="62"/>
  <c r="K175" i="62"/>
  <c r="K176" i="62"/>
  <c r="K177" i="62"/>
  <c r="K178" i="62"/>
  <c r="K179" i="62"/>
  <c r="K180" i="62"/>
  <c r="K181" i="62"/>
  <c r="K182" i="62"/>
  <c r="K183" i="62"/>
  <c r="K184" i="62"/>
  <c r="K185" i="62"/>
  <c r="K186" i="62"/>
  <c r="K187" i="62"/>
  <c r="K188" i="62"/>
  <c r="K189" i="62"/>
  <c r="K190" i="62"/>
  <c r="K191" i="62"/>
  <c r="K192" i="62"/>
  <c r="K193" i="62"/>
  <c r="K194" i="62"/>
  <c r="K195" i="62"/>
  <c r="K196" i="62"/>
  <c r="K197" i="62"/>
  <c r="K198" i="62"/>
  <c r="K199" i="62"/>
  <c r="K200" i="62"/>
  <c r="K201" i="62"/>
  <c r="K202" i="62"/>
  <c r="K203" i="62"/>
  <c r="K204" i="62"/>
  <c r="K205" i="62"/>
  <c r="K206" i="62"/>
  <c r="K207" i="62"/>
  <c r="K208" i="62"/>
  <c r="K209" i="62"/>
  <c r="K210" i="62"/>
  <c r="K211" i="62"/>
  <c r="K212" i="62"/>
  <c r="K213" i="62"/>
  <c r="K214" i="62"/>
  <c r="K215" i="62"/>
  <c r="K216" i="62"/>
  <c r="K217" i="62"/>
  <c r="K218" i="62"/>
  <c r="K73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26" i="62"/>
  <c r="K27" i="62"/>
  <c r="K28" i="62"/>
  <c r="K29" i="62"/>
  <c r="K30" i="62"/>
  <c r="K31" i="62"/>
  <c r="K32" i="62"/>
  <c r="K33" i="62"/>
  <c r="K34" i="62"/>
  <c r="K35" i="62"/>
  <c r="K36" i="62"/>
  <c r="K37" i="62"/>
  <c r="K38" i="62"/>
  <c r="K39" i="62"/>
  <c r="K40" i="62"/>
  <c r="K41" i="62"/>
  <c r="K42" i="62"/>
  <c r="K43" i="62"/>
  <c r="K44" i="62"/>
  <c r="K45" i="62"/>
  <c r="K46" i="62"/>
  <c r="K47" i="62"/>
  <c r="K48" i="62"/>
  <c r="K49" i="62"/>
  <c r="K50" i="62"/>
  <c r="K51" i="62"/>
  <c r="K52" i="62"/>
  <c r="K53" i="62"/>
  <c r="K54" i="62"/>
  <c r="K55" i="62"/>
  <c r="K56" i="62"/>
  <c r="K57" i="62"/>
  <c r="K58" i="62"/>
  <c r="K59" i="62"/>
  <c r="K60" i="62"/>
  <c r="K61" i="62"/>
  <c r="K62" i="62"/>
  <c r="K63" i="62"/>
  <c r="K64" i="62"/>
  <c r="K65" i="62"/>
  <c r="K66" i="62"/>
  <c r="K67" i="62"/>
  <c r="K68" i="62"/>
  <c r="K69" i="62"/>
  <c r="K70" i="62"/>
  <c r="O219" i="62"/>
  <c r="N219" i="62"/>
  <c r="M219" i="62"/>
  <c r="J219" i="62"/>
  <c r="I219" i="62"/>
  <c r="H219" i="62"/>
  <c r="P219" i="62"/>
  <c r="P71" i="62"/>
  <c r="O9" i="54"/>
  <c r="O10" i="54"/>
  <c r="O11" i="54"/>
  <c r="O12" i="54"/>
  <c r="O13" i="54"/>
  <c r="O14" i="54"/>
  <c r="O15" i="54"/>
  <c r="O16" i="54"/>
  <c r="O17" i="54"/>
  <c r="O18" i="54"/>
  <c r="O19" i="54"/>
  <c r="O20" i="54"/>
  <c r="O21" i="54"/>
  <c r="O22" i="54"/>
  <c r="O23" i="54"/>
  <c r="O24" i="54"/>
  <c r="O25" i="54"/>
  <c r="O26" i="54"/>
  <c r="O27" i="54"/>
  <c r="O28" i="54"/>
  <c r="O29" i="54"/>
  <c r="O30" i="54"/>
  <c r="O31" i="54"/>
  <c r="O32" i="54"/>
  <c r="O33" i="54"/>
  <c r="O34" i="54"/>
  <c r="O35" i="54"/>
  <c r="O36" i="54"/>
  <c r="O37" i="54"/>
  <c r="O38" i="54"/>
  <c r="O39" i="54"/>
  <c r="O40" i="54"/>
  <c r="O41" i="54"/>
  <c r="O42" i="54"/>
  <c r="O43" i="54"/>
  <c r="O44" i="54"/>
  <c r="O45" i="54"/>
  <c r="O46" i="54"/>
  <c r="O47" i="54"/>
  <c r="O48" i="54"/>
  <c r="O49" i="54"/>
  <c r="O50" i="54"/>
  <c r="O51" i="54"/>
  <c r="O52" i="54"/>
  <c r="O53" i="54"/>
  <c r="O54" i="54"/>
  <c r="O55" i="54"/>
  <c r="O56" i="54"/>
  <c r="O57" i="54"/>
  <c r="O58" i="54"/>
  <c r="O59" i="54"/>
  <c r="O60" i="54"/>
  <c r="O61" i="54"/>
  <c r="O62" i="54"/>
  <c r="O63" i="54"/>
  <c r="O64" i="54"/>
  <c r="O65" i="54"/>
  <c r="O66" i="54"/>
  <c r="O67" i="54"/>
  <c r="O68" i="54"/>
  <c r="O69" i="54"/>
  <c r="O70" i="54"/>
  <c r="O8" i="54"/>
  <c r="H75" i="54"/>
  <c r="H76" i="54"/>
  <c r="H77" i="54"/>
  <c r="H78" i="54"/>
  <c r="H79" i="54"/>
  <c r="H80" i="54"/>
  <c r="H81" i="54"/>
  <c r="H82" i="54"/>
  <c r="H83" i="54"/>
  <c r="H84" i="54"/>
  <c r="H85" i="54"/>
  <c r="H86" i="54"/>
  <c r="H87" i="54"/>
  <c r="H88" i="54"/>
  <c r="H89" i="54"/>
  <c r="H90" i="54"/>
  <c r="H91" i="54"/>
  <c r="H92" i="54"/>
  <c r="H93" i="54"/>
  <c r="H94" i="54"/>
  <c r="H95" i="54"/>
  <c r="H96" i="54"/>
  <c r="H97" i="54"/>
  <c r="H98" i="54"/>
  <c r="H99" i="54"/>
  <c r="H100" i="54"/>
  <c r="H101" i="54"/>
  <c r="H102" i="54"/>
  <c r="H103" i="54"/>
  <c r="H104" i="54"/>
  <c r="H105" i="54"/>
  <c r="H106" i="54"/>
  <c r="H107" i="54"/>
  <c r="H108" i="54"/>
  <c r="H109" i="54"/>
  <c r="H110" i="54"/>
  <c r="H111" i="54"/>
  <c r="H112" i="54"/>
  <c r="H113" i="54"/>
  <c r="H114" i="54"/>
  <c r="H115" i="54"/>
  <c r="H116" i="54"/>
  <c r="H117" i="54"/>
  <c r="H118" i="54"/>
  <c r="H119" i="54"/>
  <c r="H120" i="54"/>
  <c r="H121" i="54"/>
  <c r="H122" i="54"/>
  <c r="H123" i="54"/>
  <c r="H124" i="54"/>
  <c r="H125" i="54"/>
  <c r="H126" i="54"/>
  <c r="H127" i="54"/>
  <c r="H128" i="54"/>
  <c r="H129" i="54"/>
  <c r="H130" i="54"/>
  <c r="H131" i="54"/>
  <c r="H132" i="54"/>
  <c r="H133" i="54"/>
  <c r="H134" i="54"/>
  <c r="H135" i="54"/>
  <c r="H136" i="54"/>
  <c r="H137" i="54"/>
  <c r="H138" i="54"/>
  <c r="H139" i="54"/>
  <c r="H140" i="54"/>
  <c r="H141" i="54"/>
  <c r="H142" i="54"/>
  <c r="H143" i="54"/>
  <c r="H144" i="54"/>
  <c r="H145" i="54"/>
  <c r="H146" i="54"/>
  <c r="H147" i="54"/>
  <c r="H148" i="54"/>
  <c r="H149" i="54"/>
  <c r="H150" i="54"/>
  <c r="H151" i="54"/>
  <c r="H152" i="54"/>
  <c r="H153" i="54"/>
  <c r="H154" i="54"/>
  <c r="H155" i="54"/>
  <c r="H156" i="54"/>
  <c r="H157" i="54"/>
  <c r="H158" i="54"/>
  <c r="H159" i="54"/>
  <c r="H160" i="54"/>
  <c r="H161" i="54"/>
  <c r="H162" i="54"/>
  <c r="H163" i="54"/>
  <c r="H164" i="54"/>
  <c r="H165" i="54"/>
  <c r="H166" i="54"/>
  <c r="H167" i="54"/>
  <c r="H168" i="54"/>
  <c r="H169" i="54"/>
  <c r="H170" i="54"/>
  <c r="H171" i="54"/>
  <c r="H172" i="54"/>
  <c r="H173" i="54"/>
  <c r="H174" i="54"/>
  <c r="H175" i="54"/>
  <c r="H176" i="54"/>
  <c r="H177" i="54"/>
  <c r="H178" i="54"/>
  <c r="H179" i="54"/>
  <c r="H180" i="54"/>
  <c r="H181" i="54"/>
  <c r="H182" i="54"/>
  <c r="H183" i="54"/>
  <c r="H184" i="54"/>
  <c r="H185" i="54"/>
  <c r="H186" i="54"/>
  <c r="H187" i="54"/>
  <c r="H188" i="54"/>
  <c r="H189" i="54"/>
  <c r="H190" i="54"/>
  <c r="H191" i="54"/>
  <c r="H192" i="54"/>
  <c r="H193" i="54"/>
  <c r="H194" i="54"/>
  <c r="H195" i="54"/>
  <c r="H196" i="54"/>
  <c r="H197" i="54"/>
  <c r="H198" i="54"/>
  <c r="H199" i="54"/>
  <c r="H200" i="54"/>
  <c r="H201" i="54"/>
  <c r="H202" i="54"/>
  <c r="H203" i="54"/>
  <c r="H204" i="54"/>
  <c r="H205" i="54"/>
  <c r="H71" i="54"/>
  <c r="H207" i="54"/>
  <c r="H208" i="54"/>
  <c r="H209" i="54"/>
  <c r="H210" i="54"/>
  <c r="H211" i="54"/>
  <c r="H212" i="54"/>
  <c r="H213" i="54"/>
  <c r="H214" i="54"/>
  <c r="H215" i="54"/>
  <c r="H216" i="54"/>
  <c r="H217" i="54"/>
  <c r="H218" i="54"/>
  <c r="H219" i="54"/>
  <c r="H74" i="54"/>
  <c r="H9" i="54"/>
  <c r="H10" i="54"/>
  <c r="H11" i="54"/>
  <c r="H12" i="54"/>
  <c r="H13" i="54"/>
  <c r="H14" i="54"/>
  <c r="H15" i="54"/>
  <c r="H16" i="54"/>
  <c r="H17" i="54"/>
  <c r="H18" i="54"/>
  <c r="H19" i="54"/>
  <c r="H20" i="54"/>
  <c r="H21" i="54"/>
  <c r="H22" i="54"/>
  <c r="H23" i="54"/>
  <c r="H24" i="54"/>
  <c r="H25" i="54"/>
  <c r="H26" i="54"/>
  <c r="H27" i="54"/>
  <c r="H28" i="54"/>
  <c r="H29" i="54"/>
  <c r="H30" i="54"/>
  <c r="H31" i="54"/>
  <c r="H32" i="54"/>
  <c r="H33" i="54"/>
  <c r="H34" i="54"/>
  <c r="H35" i="54"/>
  <c r="H36" i="54"/>
  <c r="H37" i="54"/>
  <c r="H38" i="54"/>
  <c r="H39" i="54"/>
  <c r="H40" i="54"/>
  <c r="H41" i="54"/>
  <c r="H42" i="54"/>
  <c r="H43" i="54"/>
  <c r="H44" i="54"/>
  <c r="H45" i="54"/>
  <c r="H46" i="54"/>
  <c r="H47" i="54"/>
  <c r="H48" i="54"/>
  <c r="H49" i="54"/>
  <c r="H50" i="54"/>
  <c r="H51" i="54"/>
  <c r="H52" i="54"/>
  <c r="H53" i="54"/>
  <c r="H54" i="54"/>
  <c r="H55" i="54"/>
  <c r="H56" i="54"/>
  <c r="H57" i="54"/>
  <c r="H58" i="54"/>
  <c r="D14" i="11" s="1"/>
  <c r="H59" i="54"/>
  <c r="H60" i="54"/>
  <c r="H61" i="54"/>
  <c r="H62" i="54"/>
  <c r="H63" i="54"/>
  <c r="H64" i="54"/>
  <c r="H65" i="54"/>
  <c r="H66" i="54"/>
  <c r="H67" i="54"/>
  <c r="H68" i="54"/>
  <c r="H69" i="54"/>
  <c r="H70" i="54"/>
  <c r="H8" i="54"/>
  <c r="I75" i="54"/>
  <c r="I76" i="54"/>
  <c r="I77" i="54"/>
  <c r="I78" i="54"/>
  <c r="I79" i="54"/>
  <c r="I80" i="54"/>
  <c r="I81" i="54"/>
  <c r="I82" i="54"/>
  <c r="I83" i="54"/>
  <c r="I84" i="54"/>
  <c r="I85" i="54"/>
  <c r="I86" i="54"/>
  <c r="I87" i="54"/>
  <c r="I88" i="54"/>
  <c r="I89" i="54"/>
  <c r="I90" i="54"/>
  <c r="I91" i="54"/>
  <c r="I92" i="54"/>
  <c r="I93" i="54"/>
  <c r="I94" i="54"/>
  <c r="I95" i="54"/>
  <c r="I96" i="54"/>
  <c r="I97" i="54"/>
  <c r="I98" i="54"/>
  <c r="I99" i="54"/>
  <c r="I100" i="54"/>
  <c r="I101" i="54"/>
  <c r="I102" i="54"/>
  <c r="I103" i="54"/>
  <c r="I104" i="54"/>
  <c r="I105" i="54"/>
  <c r="I106" i="54"/>
  <c r="I107" i="54"/>
  <c r="I108" i="54"/>
  <c r="I109" i="54"/>
  <c r="I110" i="54"/>
  <c r="I111" i="54"/>
  <c r="I112" i="54"/>
  <c r="I113" i="54"/>
  <c r="I114" i="54"/>
  <c r="I115" i="54"/>
  <c r="I116" i="54"/>
  <c r="I117" i="54"/>
  <c r="I118" i="54"/>
  <c r="I119" i="54"/>
  <c r="I120" i="54"/>
  <c r="I121" i="54"/>
  <c r="I122" i="54"/>
  <c r="I123" i="54"/>
  <c r="I124" i="54"/>
  <c r="I125" i="54"/>
  <c r="I126" i="54"/>
  <c r="I127" i="54"/>
  <c r="I128" i="54"/>
  <c r="I129" i="54"/>
  <c r="I130" i="54"/>
  <c r="I131" i="54"/>
  <c r="I132" i="54"/>
  <c r="I133" i="54"/>
  <c r="I134" i="54"/>
  <c r="I135" i="54"/>
  <c r="I136" i="54"/>
  <c r="I137" i="54"/>
  <c r="I138" i="54"/>
  <c r="I139" i="54"/>
  <c r="I140" i="54"/>
  <c r="I141" i="54"/>
  <c r="I142" i="54"/>
  <c r="I143" i="54"/>
  <c r="I144" i="54"/>
  <c r="I145" i="54"/>
  <c r="I146" i="54"/>
  <c r="I147" i="54"/>
  <c r="I148" i="54"/>
  <c r="I149" i="54"/>
  <c r="I150" i="54"/>
  <c r="I151" i="54"/>
  <c r="I152" i="54"/>
  <c r="I153" i="54"/>
  <c r="I154" i="54"/>
  <c r="I155" i="54"/>
  <c r="I156" i="54"/>
  <c r="I157" i="54"/>
  <c r="I158" i="54"/>
  <c r="I159" i="54"/>
  <c r="I160" i="54"/>
  <c r="I161" i="54"/>
  <c r="I162" i="54"/>
  <c r="I163" i="54"/>
  <c r="I164" i="54"/>
  <c r="I165" i="54"/>
  <c r="I166" i="54"/>
  <c r="I167" i="54"/>
  <c r="I168" i="54"/>
  <c r="I169" i="54"/>
  <c r="I170" i="54"/>
  <c r="I171" i="54"/>
  <c r="I172" i="54"/>
  <c r="I173" i="54"/>
  <c r="I174" i="54"/>
  <c r="I175" i="54"/>
  <c r="I176" i="54"/>
  <c r="I177" i="54"/>
  <c r="I178" i="54"/>
  <c r="I179" i="54"/>
  <c r="I180" i="54"/>
  <c r="I181" i="54"/>
  <c r="I182" i="54"/>
  <c r="I183" i="54"/>
  <c r="I184" i="54"/>
  <c r="I185" i="54"/>
  <c r="I186" i="54"/>
  <c r="I187" i="54"/>
  <c r="I188" i="54"/>
  <c r="I189" i="54"/>
  <c r="I190" i="54"/>
  <c r="I191" i="54"/>
  <c r="I192" i="54"/>
  <c r="I193" i="54"/>
  <c r="I194" i="54"/>
  <c r="I195" i="54"/>
  <c r="I196" i="54"/>
  <c r="I197" i="54"/>
  <c r="I198" i="54"/>
  <c r="I199" i="54"/>
  <c r="I200" i="54"/>
  <c r="I201" i="54"/>
  <c r="I202" i="54"/>
  <c r="I203" i="54"/>
  <c r="I204" i="54"/>
  <c r="I205" i="54"/>
  <c r="I71" i="54"/>
  <c r="I207" i="54"/>
  <c r="I208" i="54"/>
  <c r="I209" i="54"/>
  <c r="I210" i="54"/>
  <c r="I211" i="54"/>
  <c r="I212" i="54"/>
  <c r="I213" i="54"/>
  <c r="I214" i="54"/>
  <c r="I215" i="54"/>
  <c r="I216" i="54"/>
  <c r="I217" i="54"/>
  <c r="I218" i="54"/>
  <c r="I219" i="54"/>
  <c r="I74" i="54"/>
  <c r="I9" i="54"/>
  <c r="I10" i="54"/>
  <c r="I11" i="54"/>
  <c r="I12" i="54"/>
  <c r="I13" i="54"/>
  <c r="I14" i="54"/>
  <c r="I15" i="54"/>
  <c r="I16" i="54"/>
  <c r="I17" i="54"/>
  <c r="I18" i="54"/>
  <c r="I19" i="54"/>
  <c r="I20" i="54"/>
  <c r="I21" i="54"/>
  <c r="I22" i="54"/>
  <c r="I23" i="54"/>
  <c r="I24" i="54"/>
  <c r="I25" i="54"/>
  <c r="I26" i="54"/>
  <c r="I27" i="54"/>
  <c r="I28" i="54"/>
  <c r="I29" i="54"/>
  <c r="I30" i="54"/>
  <c r="I31" i="54"/>
  <c r="I32" i="54"/>
  <c r="I33" i="54"/>
  <c r="I34" i="54"/>
  <c r="I35" i="54"/>
  <c r="I36" i="54"/>
  <c r="I37" i="54"/>
  <c r="I38" i="54"/>
  <c r="I39" i="54"/>
  <c r="I40" i="54"/>
  <c r="I41" i="54"/>
  <c r="I42" i="54"/>
  <c r="I43" i="54"/>
  <c r="I44" i="54"/>
  <c r="I45" i="54"/>
  <c r="I46" i="54"/>
  <c r="I47" i="54"/>
  <c r="I48" i="54"/>
  <c r="I49" i="54"/>
  <c r="I50" i="54"/>
  <c r="I51" i="54"/>
  <c r="I52" i="54"/>
  <c r="I53" i="54"/>
  <c r="I54" i="54"/>
  <c r="I55" i="54"/>
  <c r="I56" i="54"/>
  <c r="I57" i="54"/>
  <c r="I58" i="54"/>
  <c r="D16" i="11" s="1"/>
  <c r="I59" i="54"/>
  <c r="I60" i="54"/>
  <c r="I61" i="54"/>
  <c r="I62" i="54"/>
  <c r="I63" i="54"/>
  <c r="I64" i="54"/>
  <c r="I65" i="54"/>
  <c r="I66" i="54"/>
  <c r="I67" i="54"/>
  <c r="I68" i="54"/>
  <c r="I69" i="54"/>
  <c r="I70" i="54"/>
  <c r="I8" i="54"/>
  <c r="J75" i="54"/>
  <c r="J76" i="54"/>
  <c r="J77" i="54"/>
  <c r="J78" i="54"/>
  <c r="J79" i="54"/>
  <c r="J80" i="54"/>
  <c r="J81" i="54"/>
  <c r="J82" i="54"/>
  <c r="J83" i="54"/>
  <c r="J84" i="54"/>
  <c r="J85" i="54"/>
  <c r="J86" i="54"/>
  <c r="J87" i="54"/>
  <c r="J88" i="54"/>
  <c r="J89" i="54"/>
  <c r="J90" i="54"/>
  <c r="J91" i="54"/>
  <c r="J92" i="54"/>
  <c r="J93" i="54"/>
  <c r="J94" i="54"/>
  <c r="J95" i="54"/>
  <c r="J96" i="54"/>
  <c r="J97" i="54"/>
  <c r="J98" i="54"/>
  <c r="J99" i="54"/>
  <c r="J100" i="54"/>
  <c r="J101" i="54"/>
  <c r="J102" i="54"/>
  <c r="J103" i="54"/>
  <c r="J104" i="54"/>
  <c r="J105" i="54"/>
  <c r="J106" i="54"/>
  <c r="J107" i="54"/>
  <c r="J108" i="54"/>
  <c r="J109" i="54"/>
  <c r="J110" i="54"/>
  <c r="J111" i="54"/>
  <c r="J112" i="54"/>
  <c r="J113" i="54"/>
  <c r="J114" i="54"/>
  <c r="J115" i="54"/>
  <c r="J116" i="54"/>
  <c r="J117" i="54"/>
  <c r="J118" i="54"/>
  <c r="J119" i="54"/>
  <c r="J120" i="54"/>
  <c r="J121" i="54"/>
  <c r="J122" i="54"/>
  <c r="J123" i="54"/>
  <c r="J124" i="54"/>
  <c r="J125" i="54"/>
  <c r="J126" i="54"/>
  <c r="J127" i="54"/>
  <c r="J128" i="54"/>
  <c r="J129" i="54"/>
  <c r="J130" i="54"/>
  <c r="J131" i="54"/>
  <c r="J132" i="54"/>
  <c r="J133" i="54"/>
  <c r="J134" i="54"/>
  <c r="J135" i="54"/>
  <c r="J136" i="54"/>
  <c r="J137" i="54"/>
  <c r="J138" i="54"/>
  <c r="J139" i="54"/>
  <c r="J140" i="54"/>
  <c r="J141" i="54"/>
  <c r="J142" i="54"/>
  <c r="J143" i="54"/>
  <c r="J144" i="54"/>
  <c r="J145" i="54"/>
  <c r="J146" i="54"/>
  <c r="J147" i="54"/>
  <c r="J148" i="54"/>
  <c r="J149" i="54"/>
  <c r="J150" i="54"/>
  <c r="J151" i="54"/>
  <c r="J152" i="54"/>
  <c r="J153" i="54"/>
  <c r="J154" i="54"/>
  <c r="J155" i="54"/>
  <c r="J156" i="54"/>
  <c r="J157" i="54"/>
  <c r="J158" i="54"/>
  <c r="J159" i="54"/>
  <c r="J160" i="54"/>
  <c r="J161" i="54"/>
  <c r="J162" i="54"/>
  <c r="J163" i="54"/>
  <c r="J164" i="54"/>
  <c r="J165" i="54"/>
  <c r="J166" i="54"/>
  <c r="J167" i="54"/>
  <c r="J168" i="54"/>
  <c r="J169" i="54"/>
  <c r="J170" i="54"/>
  <c r="J171" i="54"/>
  <c r="J172" i="54"/>
  <c r="J173" i="54"/>
  <c r="J174" i="54"/>
  <c r="J175" i="54"/>
  <c r="J176" i="54"/>
  <c r="J177" i="54"/>
  <c r="J178" i="54"/>
  <c r="J179" i="54"/>
  <c r="J180" i="54"/>
  <c r="J181" i="54"/>
  <c r="J182" i="54"/>
  <c r="J183" i="54"/>
  <c r="J184" i="54"/>
  <c r="J185" i="54"/>
  <c r="J186" i="54"/>
  <c r="J187" i="54"/>
  <c r="J188" i="54"/>
  <c r="J189" i="54"/>
  <c r="J190" i="54"/>
  <c r="J191" i="54"/>
  <c r="J192" i="54"/>
  <c r="J193" i="54"/>
  <c r="J194" i="54"/>
  <c r="J195" i="54"/>
  <c r="J196" i="54"/>
  <c r="J197" i="54"/>
  <c r="J198" i="54"/>
  <c r="J199" i="54"/>
  <c r="J200" i="54"/>
  <c r="J201" i="54"/>
  <c r="J202" i="54"/>
  <c r="J203" i="54"/>
  <c r="J204" i="54"/>
  <c r="J205" i="54"/>
  <c r="J71" i="54"/>
  <c r="J207" i="54"/>
  <c r="J208" i="54"/>
  <c r="J209" i="54"/>
  <c r="J210" i="54"/>
  <c r="J211" i="54"/>
  <c r="J212" i="54"/>
  <c r="J213" i="54"/>
  <c r="J214" i="54"/>
  <c r="J215" i="54"/>
  <c r="J216" i="54"/>
  <c r="J217" i="54"/>
  <c r="J218" i="54"/>
  <c r="J219" i="54"/>
  <c r="J74" i="54"/>
  <c r="J9" i="54"/>
  <c r="J10" i="54"/>
  <c r="J11" i="54"/>
  <c r="J12" i="54"/>
  <c r="J13" i="54"/>
  <c r="J14" i="54"/>
  <c r="J15" i="54"/>
  <c r="J16" i="54"/>
  <c r="J17" i="54"/>
  <c r="J18" i="54"/>
  <c r="J19" i="54"/>
  <c r="J20" i="54"/>
  <c r="J21" i="54"/>
  <c r="J22" i="54"/>
  <c r="J23" i="54"/>
  <c r="J24" i="54"/>
  <c r="J25" i="54"/>
  <c r="J26" i="54"/>
  <c r="J27" i="54"/>
  <c r="J28" i="54"/>
  <c r="J29" i="54"/>
  <c r="J30" i="54"/>
  <c r="J31" i="54"/>
  <c r="J32" i="54"/>
  <c r="J33" i="54"/>
  <c r="J34" i="54"/>
  <c r="J35" i="54"/>
  <c r="J36" i="54"/>
  <c r="J37" i="54"/>
  <c r="J38" i="54"/>
  <c r="J39" i="54"/>
  <c r="J40" i="54"/>
  <c r="J41" i="54"/>
  <c r="J42" i="54"/>
  <c r="J43" i="54"/>
  <c r="J44" i="54"/>
  <c r="J45" i="54"/>
  <c r="J46" i="54"/>
  <c r="J47" i="54"/>
  <c r="J48" i="54"/>
  <c r="J49" i="54"/>
  <c r="J50" i="54"/>
  <c r="J51" i="54"/>
  <c r="J52" i="54"/>
  <c r="J53" i="54"/>
  <c r="J54" i="54"/>
  <c r="J55" i="54"/>
  <c r="J56" i="54"/>
  <c r="J57" i="54"/>
  <c r="J58" i="54"/>
  <c r="D15" i="11" s="1"/>
  <c r="J59" i="54"/>
  <c r="J60" i="54"/>
  <c r="J61" i="54"/>
  <c r="J62" i="54"/>
  <c r="J63" i="54"/>
  <c r="J64" i="54"/>
  <c r="J65" i="54"/>
  <c r="J66" i="54"/>
  <c r="J67" i="54"/>
  <c r="J68" i="54"/>
  <c r="J69" i="54"/>
  <c r="J70" i="54"/>
  <c r="K75" i="54"/>
  <c r="S75" i="54" s="1"/>
  <c r="K76" i="54"/>
  <c r="S76" i="54" s="1"/>
  <c r="K77" i="54"/>
  <c r="S77" i="54" s="1"/>
  <c r="K78" i="54"/>
  <c r="S78" i="54" s="1"/>
  <c r="K79" i="54"/>
  <c r="S79" i="54" s="1"/>
  <c r="K80" i="54"/>
  <c r="S80" i="54" s="1"/>
  <c r="K81" i="54"/>
  <c r="S81" i="54" s="1"/>
  <c r="K82" i="54"/>
  <c r="S82" i="54" s="1"/>
  <c r="K83" i="54"/>
  <c r="S83" i="54" s="1"/>
  <c r="K84" i="54"/>
  <c r="S84" i="54" s="1"/>
  <c r="K85" i="54"/>
  <c r="S85" i="54" s="1"/>
  <c r="K86" i="54"/>
  <c r="S86" i="54" s="1"/>
  <c r="K87" i="54"/>
  <c r="S87" i="54" s="1"/>
  <c r="K88" i="54"/>
  <c r="S88" i="54" s="1"/>
  <c r="K89" i="54"/>
  <c r="S89" i="54" s="1"/>
  <c r="K90" i="54"/>
  <c r="S90" i="54" s="1"/>
  <c r="K91" i="54"/>
  <c r="S91" i="54" s="1"/>
  <c r="K92" i="54"/>
  <c r="S92" i="54" s="1"/>
  <c r="K93" i="54"/>
  <c r="S93" i="54" s="1"/>
  <c r="K94" i="54"/>
  <c r="S94" i="54" s="1"/>
  <c r="K95" i="54"/>
  <c r="S95" i="54" s="1"/>
  <c r="K96" i="54"/>
  <c r="S96" i="54" s="1"/>
  <c r="K97" i="54"/>
  <c r="S97" i="54" s="1"/>
  <c r="K98" i="54"/>
  <c r="S98" i="54" s="1"/>
  <c r="K99" i="54"/>
  <c r="S99" i="54" s="1"/>
  <c r="K100" i="54"/>
  <c r="S100" i="54" s="1"/>
  <c r="K101" i="54"/>
  <c r="S101" i="54" s="1"/>
  <c r="K102" i="54"/>
  <c r="S102" i="54" s="1"/>
  <c r="K103" i="54"/>
  <c r="S103" i="54" s="1"/>
  <c r="K104" i="54"/>
  <c r="S104" i="54" s="1"/>
  <c r="K105" i="54"/>
  <c r="S105" i="54" s="1"/>
  <c r="K106" i="54"/>
  <c r="S106" i="54" s="1"/>
  <c r="K107" i="54"/>
  <c r="S107" i="54" s="1"/>
  <c r="K108" i="54"/>
  <c r="S108" i="54" s="1"/>
  <c r="K109" i="54"/>
  <c r="S109" i="54" s="1"/>
  <c r="K110" i="54"/>
  <c r="S110" i="54" s="1"/>
  <c r="K111" i="54"/>
  <c r="S111" i="54" s="1"/>
  <c r="K112" i="54"/>
  <c r="S112" i="54" s="1"/>
  <c r="K113" i="54"/>
  <c r="S113" i="54" s="1"/>
  <c r="K114" i="54"/>
  <c r="S114" i="54" s="1"/>
  <c r="K115" i="54"/>
  <c r="S115" i="54" s="1"/>
  <c r="K116" i="54"/>
  <c r="S116" i="54" s="1"/>
  <c r="K117" i="54"/>
  <c r="S117" i="54" s="1"/>
  <c r="K118" i="54"/>
  <c r="S118" i="54" s="1"/>
  <c r="K119" i="54"/>
  <c r="S119" i="54" s="1"/>
  <c r="K120" i="54"/>
  <c r="S120" i="54" s="1"/>
  <c r="K121" i="54"/>
  <c r="S121" i="54" s="1"/>
  <c r="K122" i="54"/>
  <c r="S122" i="54" s="1"/>
  <c r="K123" i="54"/>
  <c r="S123" i="54" s="1"/>
  <c r="K124" i="54"/>
  <c r="S124" i="54" s="1"/>
  <c r="K125" i="54"/>
  <c r="S125" i="54" s="1"/>
  <c r="K126" i="54"/>
  <c r="S126" i="54" s="1"/>
  <c r="K127" i="54"/>
  <c r="S127" i="54" s="1"/>
  <c r="K128" i="54"/>
  <c r="S128" i="54" s="1"/>
  <c r="K129" i="54"/>
  <c r="S129" i="54" s="1"/>
  <c r="K130" i="54"/>
  <c r="S130" i="54" s="1"/>
  <c r="K131" i="54"/>
  <c r="S131" i="54" s="1"/>
  <c r="K132" i="54"/>
  <c r="S132" i="54" s="1"/>
  <c r="K133" i="54"/>
  <c r="S133" i="54" s="1"/>
  <c r="K134" i="54"/>
  <c r="S134" i="54" s="1"/>
  <c r="K135" i="54"/>
  <c r="S135" i="54" s="1"/>
  <c r="K136" i="54"/>
  <c r="S136" i="54" s="1"/>
  <c r="K137" i="54"/>
  <c r="S137" i="54" s="1"/>
  <c r="K138" i="54"/>
  <c r="S138" i="54" s="1"/>
  <c r="K139" i="54"/>
  <c r="S139" i="54" s="1"/>
  <c r="K140" i="54"/>
  <c r="S140" i="54" s="1"/>
  <c r="K141" i="54"/>
  <c r="S141" i="54" s="1"/>
  <c r="K142" i="54"/>
  <c r="S142" i="54" s="1"/>
  <c r="K143" i="54"/>
  <c r="S143" i="54" s="1"/>
  <c r="K144" i="54"/>
  <c r="S144" i="54" s="1"/>
  <c r="K145" i="54"/>
  <c r="S145" i="54" s="1"/>
  <c r="K146" i="54"/>
  <c r="S146" i="54" s="1"/>
  <c r="K147" i="54"/>
  <c r="S147" i="54" s="1"/>
  <c r="K148" i="54"/>
  <c r="S148" i="54" s="1"/>
  <c r="K149" i="54"/>
  <c r="S149" i="54" s="1"/>
  <c r="K150" i="54"/>
  <c r="S150" i="54" s="1"/>
  <c r="K151" i="54"/>
  <c r="S151" i="54" s="1"/>
  <c r="K152" i="54"/>
  <c r="S152" i="54" s="1"/>
  <c r="K153" i="54"/>
  <c r="S153" i="54" s="1"/>
  <c r="K154" i="54"/>
  <c r="S154" i="54" s="1"/>
  <c r="K155" i="54"/>
  <c r="S155" i="54" s="1"/>
  <c r="K156" i="54"/>
  <c r="S156" i="54" s="1"/>
  <c r="K157" i="54"/>
  <c r="S157" i="54" s="1"/>
  <c r="K158" i="54"/>
  <c r="S158" i="54" s="1"/>
  <c r="K159" i="54"/>
  <c r="S159" i="54" s="1"/>
  <c r="K160" i="54"/>
  <c r="S160" i="54" s="1"/>
  <c r="K161" i="54"/>
  <c r="S161" i="54" s="1"/>
  <c r="K162" i="54"/>
  <c r="S162" i="54" s="1"/>
  <c r="K163" i="54"/>
  <c r="S163" i="54" s="1"/>
  <c r="K164" i="54"/>
  <c r="S164" i="54" s="1"/>
  <c r="K165" i="54"/>
  <c r="S165" i="54" s="1"/>
  <c r="K166" i="54"/>
  <c r="S166" i="54" s="1"/>
  <c r="K167" i="54"/>
  <c r="S167" i="54" s="1"/>
  <c r="K168" i="54"/>
  <c r="S168" i="54" s="1"/>
  <c r="K169" i="54"/>
  <c r="S169" i="54" s="1"/>
  <c r="K170" i="54"/>
  <c r="S170" i="54" s="1"/>
  <c r="K171" i="54"/>
  <c r="S171" i="54" s="1"/>
  <c r="K172" i="54"/>
  <c r="S172" i="54" s="1"/>
  <c r="K173" i="54"/>
  <c r="S173" i="54" s="1"/>
  <c r="K174" i="54"/>
  <c r="S174" i="54" s="1"/>
  <c r="K175" i="54"/>
  <c r="S175" i="54" s="1"/>
  <c r="K176" i="54"/>
  <c r="S176" i="54" s="1"/>
  <c r="K177" i="54"/>
  <c r="S177" i="54" s="1"/>
  <c r="K178" i="54"/>
  <c r="S178" i="54" s="1"/>
  <c r="K179" i="54"/>
  <c r="S179" i="54" s="1"/>
  <c r="K180" i="54"/>
  <c r="S180" i="54" s="1"/>
  <c r="K181" i="54"/>
  <c r="S181" i="54" s="1"/>
  <c r="K182" i="54"/>
  <c r="S182" i="54" s="1"/>
  <c r="K183" i="54"/>
  <c r="S183" i="54" s="1"/>
  <c r="K184" i="54"/>
  <c r="S184" i="54" s="1"/>
  <c r="K185" i="54"/>
  <c r="S185" i="54" s="1"/>
  <c r="K186" i="54"/>
  <c r="S186" i="54" s="1"/>
  <c r="K187" i="54"/>
  <c r="S187" i="54" s="1"/>
  <c r="K188" i="54"/>
  <c r="S188" i="54" s="1"/>
  <c r="K189" i="54"/>
  <c r="S189" i="54" s="1"/>
  <c r="K190" i="54"/>
  <c r="S190" i="54" s="1"/>
  <c r="K191" i="54"/>
  <c r="S191" i="54" s="1"/>
  <c r="K192" i="54"/>
  <c r="S192" i="54" s="1"/>
  <c r="K193" i="54"/>
  <c r="S193" i="54" s="1"/>
  <c r="K194" i="54"/>
  <c r="S194" i="54" s="1"/>
  <c r="K195" i="54"/>
  <c r="S195" i="54" s="1"/>
  <c r="K196" i="54"/>
  <c r="S196" i="54" s="1"/>
  <c r="K197" i="54"/>
  <c r="S197" i="54" s="1"/>
  <c r="K198" i="54"/>
  <c r="S198" i="54" s="1"/>
  <c r="K199" i="54"/>
  <c r="S199" i="54" s="1"/>
  <c r="K200" i="54"/>
  <c r="S200" i="54" s="1"/>
  <c r="K201" i="54"/>
  <c r="S201" i="54" s="1"/>
  <c r="K202" i="54"/>
  <c r="S202" i="54" s="1"/>
  <c r="K203" i="54"/>
  <c r="S203" i="54" s="1"/>
  <c r="K204" i="54"/>
  <c r="S204" i="54" s="1"/>
  <c r="K205" i="54"/>
  <c r="S205" i="54" s="1"/>
  <c r="K71" i="54"/>
  <c r="S71" i="54" s="1"/>
  <c r="K207" i="54"/>
  <c r="S207" i="54" s="1"/>
  <c r="K208" i="54"/>
  <c r="S208" i="54" s="1"/>
  <c r="K209" i="54"/>
  <c r="S209" i="54" s="1"/>
  <c r="K210" i="54"/>
  <c r="S210" i="54" s="1"/>
  <c r="K211" i="54"/>
  <c r="S211" i="54" s="1"/>
  <c r="K212" i="54"/>
  <c r="S212" i="54" s="1"/>
  <c r="K213" i="54"/>
  <c r="S213" i="54" s="1"/>
  <c r="K214" i="54"/>
  <c r="S214" i="54" s="1"/>
  <c r="K215" i="54"/>
  <c r="S215" i="54" s="1"/>
  <c r="K216" i="54"/>
  <c r="S216" i="54" s="1"/>
  <c r="K217" i="54"/>
  <c r="S217" i="54" s="1"/>
  <c r="K218" i="54"/>
  <c r="S218" i="54" s="1"/>
  <c r="K219" i="54"/>
  <c r="S219" i="54" s="1"/>
  <c r="K74" i="54"/>
  <c r="S74" i="54" s="1"/>
  <c r="K9" i="54"/>
  <c r="K10" i="54"/>
  <c r="K11" i="54"/>
  <c r="K12" i="54"/>
  <c r="K13" i="54"/>
  <c r="K14" i="54"/>
  <c r="K15" i="54"/>
  <c r="K16" i="54"/>
  <c r="K17" i="54"/>
  <c r="K18" i="54"/>
  <c r="K19" i="54"/>
  <c r="K20" i="54"/>
  <c r="K21" i="54"/>
  <c r="K22" i="54"/>
  <c r="K23" i="54"/>
  <c r="K24" i="54"/>
  <c r="K25" i="54"/>
  <c r="K26" i="54"/>
  <c r="K27" i="54"/>
  <c r="K28" i="54"/>
  <c r="K29" i="54"/>
  <c r="K30" i="54"/>
  <c r="K31" i="54"/>
  <c r="K32" i="54"/>
  <c r="K33" i="54"/>
  <c r="K34" i="54"/>
  <c r="K35" i="54"/>
  <c r="K36" i="54"/>
  <c r="K37" i="54"/>
  <c r="K38" i="54"/>
  <c r="K39" i="54"/>
  <c r="K40" i="54"/>
  <c r="K41" i="54"/>
  <c r="K42" i="54"/>
  <c r="K43" i="54"/>
  <c r="K44" i="54"/>
  <c r="K45" i="54"/>
  <c r="K46" i="54"/>
  <c r="K47" i="54"/>
  <c r="K48" i="54"/>
  <c r="K49" i="54"/>
  <c r="K50" i="54"/>
  <c r="K51" i="54"/>
  <c r="K52" i="54"/>
  <c r="K53" i="54"/>
  <c r="K54" i="54"/>
  <c r="K55" i="54"/>
  <c r="K56" i="54"/>
  <c r="K57" i="54"/>
  <c r="K58" i="54"/>
  <c r="K59" i="54"/>
  <c r="K60" i="54"/>
  <c r="K61" i="54"/>
  <c r="K62" i="54"/>
  <c r="K63" i="54"/>
  <c r="K64" i="54"/>
  <c r="K65" i="54"/>
  <c r="K66" i="54"/>
  <c r="K67" i="54"/>
  <c r="K68" i="54"/>
  <c r="K69" i="54"/>
  <c r="K70" i="54"/>
  <c r="K8" i="54"/>
  <c r="O9" i="61"/>
  <c r="O10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8" i="61"/>
  <c r="O39" i="61"/>
  <c r="O40" i="61"/>
  <c r="O41" i="61"/>
  <c r="O42" i="61"/>
  <c r="O43" i="61"/>
  <c r="O44" i="61"/>
  <c r="O45" i="61"/>
  <c r="O46" i="61"/>
  <c r="O47" i="61"/>
  <c r="O48" i="61"/>
  <c r="O49" i="61"/>
  <c r="O50" i="61"/>
  <c r="O51" i="61"/>
  <c r="O52" i="61"/>
  <c r="O53" i="61"/>
  <c r="O54" i="61"/>
  <c r="O55" i="61"/>
  <c r="O56" i="61"/>
  <c r="O57" i="61"/>
  <c r="O58" i="61"/>
  <c r="O59" i="61"/>
  <c r="O60" i="61"/>
  <c r="O61" i="61"/>
  <c r="O62" i="61"/>
  <c r="O63" i="61"/>
  <c r="O64" i="61"/>
  <c r="O65" i="61"/>
  <c r="O66" i="61"/>
  <c r="O67" i="61"/>
  <c r="O68" i="61"/>
  <c r="O69" i="61"/>
  <c r="O70" i="61"/>
  <c r="N219" i="61"/>
  <c r="L71" i="61"/>
  <c r="L219" i="61"/>
  <c r="O103" i="61"/>
  <c r="O131" i="61"/>
  <c r="O171" i="61"/>
  <c r="O199" i="61"/>
  <c r="K71" i="61"/>
  <c r="J71" i="61"/>
  <c r="O74" i="61"/>
  <c r="O90" i="61"/>
  <c r="O98" i="61"/>
  <c r="O114" i="61"/>
  <c r="O122" i="61"/>
  <c r="O130" i="61"/>
  <c r="O138" i="61"/>
  <c r="O170" i="61"/>
  <c r="O178" i="61"/>
  <c r="O210" i="61"/>
  <c r="O218" i="61"/>
  <c r="I71" i="61"/>
  <c r="O156" i="61"/>
  <c r="H71" i="61"/>
  <c r="O106" i="61"/>
  <c r="O78" i="61"/>
  <c r="O75" i="61"/>
  <c r="O91" i="61"/>
  <c r="O99" i="61"/>
  <c r="O107" i="61"/>
  <c r="O115" i="61"/>
  <c r="O139" i="61"/>
  <c r="O159" i="61"/>
  <c r="O187" i="61"/>
  <c r="K49" i="11" l="1"/>
  <c r="E49" i="11"/>
  <c r="L49" i="11"/>
  <c r="M49" i="11"/>
  <c r="F49" i="11"/>
  <c r="N49" i="11"/>
  <c r="G49" i="11"/>
  <c r="O49" i="11"/>
  <c r="H49" i="11"/>
  <c r="P49" i="11"/>
  <c r="I49" i="11"/>
  <c r="J49" i="11"/>
  <c r="G50" i="11"/>
  <c r="O50" i="11"/>
  <c r="K50" i="11"/>
  <c r="N50" i="11"/>
  <c r="H50" i="11"/>
  <c r="P50" i="11"/>
  <c r="I50" i="11"/>
  <c r="E50" i="11"/>
  <c r="J50" i="11"/>
  <c r="L50" i="11"/>
  <c r="M50" i="11"/>
  <c r="F50" i="11"/>
  <c r="K51" i="11"/>
  <c r="E51" i="11"/>
  <c r="J51" i="11"/>
  <c r="L51" i="11"/>
  <c r="M51" i="11"/>
  <c r="F51" i="11"/>
  <c r="N51" i="11"/>
  <c r="G51" i="11"/>
  <c r="O51" i="11"/>
  <c r="H51" i="11"/>
  <c r="P51" i="11"/>
  <c r="I51" i="11"/>
  <c r="K65" i="11"/>
  <c r="AA200" i="54"/>
  <c r="AB200" i="54"/>
  <c r="AC200" i="54"/>
  <c r="AD200" i="54"/>
  <c r="AE200" i="54"/>
  <c r="Z200" i="54"/>
  <c r="AE184" i="54"/>
  <c r="Z184" i="54"/>
  <c r="AA184" i="54"/>
  <c r="AB184" i="54"/>
  <c r="AD184" i="54"/>
  <c r="AC184" i="54"/>
  <c r="AA152" i="54"/>
  <c r="AC152" i="54"/>
  <c r="AD152" i="54"/>
  <c r="AF152" i="54" s="1"/>
  <c r="AB152" i="54"/>
  <c r="AE152" i="54"/>
  <c r="Z152" i="54"/>
  <c r="AD88" i="54"/>
  <c r="AE88" i="54"/>
  <c r="AA88" i="54"/>
  <c r="AC88" i="54"/>
  <c r="AB88" i="54"/>
  <c r="AF88" i="54" s="1"/>
  <c r="Z88" i="54"/>
  <c r="AA215" i="54"/>
  <c r="AB215" i="54"/>
  <c r="AE215" i="54"/>
  <c r="AC215" i="54"/>
  <c r="AD215" i="54"/>
  <c r="Z215" i="54"/>
  <c r="AE207" i="54"/>
  <c r="AF207" i="54" s="1"/>
  <c r="AD207" i="54"/>
  <c r="AA207" i="54"/>
  <c r="AB207" i="54"/>
  <c r="AC207" i="54"/>
  <c r="Z207" i="54"/>
  <c r="AC199" i="54"/>
  <c r="AB199" i="54"/>
  <c r="AD199" i="54"/>
  <c r="AE199" i="54"/>
  <c r="AA199" i="54"/>
  <c r="Z199" i="54"/>
  <c r="AB191" i="54"/>
  <c r="AC191" i="54"/>
  <c r="Z191" i="54"/>
  <c r="AD191" i="54"/>
  <c r="AE191" i="54"/>
  <c r="AA191" i="54"/>
  <c r="AE183" i="54"/>
  <c r="AA183" i="54"/>
  <c r="AD183" i="54"/>
  <c r="Z183" i="54"/>
  <c r="AB183" i="54"/>
  <c r="AC183" i="54"/>
  <c r="Z175" i="54"/>
  <c r="AF175" i="54" s="1"/>
  <c r="AA175" i="54"/>
  <c r="AC175" i="54"/>
  <c r="AD175" i="54"/>
  <c r="AE175" i="54"/>
  <c r="AB175" i="54"/>
  <c r="AD167" i="54"/>
  <c r="AB167" i="54"/>
  <c r="AC167" i="54"/>
  <c r="AE167" i="54"/>
  <c r="AA167" i="54"/>
  <c r="Z167" i="54"/>
  <c r="AE159" i="54"/>
  <c r="AC159" i="54"/>
  <c r="AD159" i="54"/>
  <c r="AA159" i="54"/>
  <c r="AB159" i="54"/>
  <c r="AF159" i="54" s="1"/>
  <c r="Z159" i="54"/>
  <c r="AC151" i="54"/>
  <c r="AE151" i="54"/>
  <c r="AB151" i="54"/>
  <c r="AA151" i="54"/>
  <c r="AD151" i="54"/>
  <c r="Z151" i="54"/>
  <c r="AA143" i="54"/>
  <c r="AF143" i="54" s="1"/>
  <c r="AB143" i="54"/>
  <c r="AE143" i="54"/>
  <c r="AC143" i="54"/>
  <c r="AD143" i="54"/>
  <c r="Z143" i="54"/>
  <c r="AD135" i="54"/>
  <c r="AC135" i="54"/>
  <c r="AB135" i="54"/>
  <c r="AA135" i="54"/>
  <c r="Z135" i="54"/>
  <c r="AE135" i="54"/>
  <c r="AC127" i="54"/>
  <c r="AD127" i="54"/>
  <c r="AE127" i="54"/>
  <c r="AA127" i="54"/>
  <c r="AB127" i="54"/>
  <c r="Z127" i="54"/>
  <c r="AE119" i="54"/>
  <c r="AA119" i="54"/>
  <c r="AD119" i="54"/>
  <c r="AB119" i="54"/>
  <c r="Z119" i="54"/>
  <c r="AC119" i="54"/>
  <c r="AA111" i="54"/>
  <c r="AF111" i="54" s="1"/>
  <c r="Z111" i="54"/>
  <c r="AC111" i="54"/>
  <c r="AB111" i="54"/>
  <c r="AE111" i="54"/>
  <c r="AD111" i="54"/>
  <c r="AD103" i="54"/>
  <c r="AB103" i="54"/>
  <c r="AA103" i="54"/>
  <c r="AC103" i="54"/>
  <c r="AE103" i="54"/>
  <c r="Z103" i="54"/>
  <c r="AE95" i="54"/>
  <c r="AC95" i="54"/>
  <c r="Z95" i="54"/>
  <c r="AD95" i="54"/>
  <c r="AA95" i="54"/>
  <c r="AB95" i="54"/>
  <c r="AC87" i="54"/>
  <c r="AE87" i="54"/>
  <c r="AD87" i="54"/>
  <c r="AB87" i="54"/>
  <c r="Z87" i="54"/>
  <c r="AA87" i="54"/>
  <c r="AD79" i="54"/>
  <c r="AA79" i="54"/>
  <c r="AC79" i="54"/>
  <c r="AB79" i="54"/>
  <c r="AE79" i="54"/>
  <c r="Z79" i="54"/>
  <c r="AC120" i="54"/>
  <c r="AD120" i="54"/>
  <c r="AA120" i="54"/>
  <c r="AE120" i="54"/>
  <c r="Z120" i="54"/>
  <c r="AB120" i="54"/>
  <c r="AA112" i="54"/>
  <c r="AB112" i="54"/>
  <c r="AC112" i="54"/>
  <c r="AE112" i="54"/>
  <c r="Z112" i="54"/>
  <c r="AD112" i="54"/>
  <c r="AD104" i="54"/>
  <c r="AE104" i="54"/>
  <c r="Z104" i="54"/>
  <c r="AA104" i="54"/>
  <c r="AB104" i="54"/>
  <c r="AC104" i="54"/>
  <c r="AA198" i="54"/>
  <c r="AB198" i="54"/>
  <c r="AD198" i="54"/>
  <c r="Z198" i="54"/>
  <c r="AE198" i="54"/>
  <c r="AC198" i="54"/>
  <c r="AC166" i="54"/>
  <c r="AA166" i="54"/>
  <c r="AD166" i="54"/>
  <c r="AE166" i="54"/>
  <c r="AB166" i="54"/>
  <c r="Z166" i="54"/>
  <c r="AA118" i="54"/>
  <c r="AB118" i="54"/>
  <c r="AC118" i="54"/>
  <c r="Z118" i="54"/>
  <c r="AD118" i="54"/>
  <c r="AE118" i="54"/>
  <c r="AC102" i="54"/>
  <c r="AA102" i="54"/>
  <c r="AE102" i="54"/>
  <c r="AB102" i="54"/>
  <c r="Z102" i="54"/>
  <c r="AD102" i="54"/>
  <c r="AE86" i="54"/>
  <c r="AB86" i="54"/>
  <c r="AA86" i="54"/>
  <c r="AC86" i="54"/>
  <c r="AD86" i="54"/>
  <c r="Z86" i="54"/>
  <c r="AD78" i="54"/>
  <c r="Z78" i="54"/>
  <c r="AC78" i="54"/>
  <c r="AB78" i="54"/>
  <c r="AE78" i="54"/>
  <c r="AA78" i="54"/>
  <c r="AB216" i="54"/>
  <c r="AC216" i="54"/>
  <c r="AD216" i="54"/>
  <c r="AA216" i="54"/>
  <c r="Z216" i="54"/>
  <c r="AE216" i="54"/>
  <c r="AB192" i="54"/>
  <c r="AE192" i="54"/>
  <c r="AA192" i="54"/>
  <c r="AC192" i="54"/>
  <c r="AD192" i="54"/>
  <c r="Z192" i="54"/>
  <c r="AB168" i="54"/>
  <c r="AA168" i="54"/>
  <c r="AC168" i="54"/>
  <c r="AD168" i="54"/>
  <c r="AE168" i="54"/>
  <c r="Z168" i="54"/>
  <c r="AA128" i="54"/>
  <c r="AB128" i="54"/>
  <c r="AD128" i="54"/>
  <c r="AE128" i="54"/>
  <c r="AC128" i="54"/>
  <c r="Z128" i="54"/>
  <c r="AD182" i="54"/>
  <c r="AC182" i="54"/>
  <c r="AB182" i="54"/>
  <c r="AA182" i="54"/>
  <c r="AE182" i="54"/>
  <c r="Z182" i="54"/>
  <c r="AA158" i="54"/>
  <c r="AC158" i="54"/>
  <c r="AE158" i="54"/>
  <c r="Z158" i="54"/>
  <c r="AD158" i="54"/>
  <c r="AB158" i="54"/>
  <c r="AD110" i="54"/>
  <c r="AB110" i="54"/>
  <c r="AC110" i="54"/>
  <c r="AE110" i="54"/>
  <c r="Z110" i="54"/>
  <c r="AA110" i="54"/>
  <c r="AC181" i="54"/>
  <c r="AD181" i="54"/>
  <c r="Z181" i="54"/>
  <c r="AB181" i="54"/>
  <c r="AE181" i="54"/>
  <c r="AA181" i="54"/>
  <c r="AA149" i="54"/>
  <c r="AE149" i="54"/>
  <c r="AB149" i="54"/>
  <c r="AD149" i="54"/>
  <c r="Z149" i="54"/>
  <c r="AC149" i="54"/>
  <c r="AD125" i="54"/>
  <c r="AC125" i="54"/>
  <c r="AE125" i="54"/>
  <c r="Z125" i="54"/>
  <c r="AA125" i="54"/>
  <c r="AB125" i="54"/>
  <c r="AE101" i="54"/>
  <c r="AC101" i="54"/>
  <c r="AB101" i="54"/>
  <c r="AD101" i="54"/>
  <c r="Z101" i="54"/>
  <c r="AA101" i="54"/>
  <c r="AA85" i="54"/>
  <c r="AD85" i="54"/>
  <c r="Z85" i="54"/>
  <c r="AE85" i="54"/>
  <c r="AC85" i="54"/>
  <c r="AB85" i="54"/>
  <c r="AB136" i="54"/>
  <c r="AC136" i="54"/>
  <c r="AD136" i="54"/>
  <c r="AE136" i="54"/>
  <c r="AA136" i="54"/>
  <c r="Z136" i="54"/>
  <c r="AB80" i="54"/>
  <c r="AD80" i="54"/>
  <c r="AA80" i="54"/>
  <c r="AE80" i="54"/>
  <c r="Z80" i="54"/>
  <c r="AC80" i="54"/>
  <c r="AE214" i="54"/>
  <c r="AB214" i="54"/>
  <c r="AA214" i="54"/>
  <c r="Z214" i="54"/>
  <c r="AD214" i="54"/>
  <c r="AC214" i="54"/>
  <c r="AA190" i="54"/>
  <c r="AD190" i="54"/>
  <c r="AE190" i="54"/>
  <c r="AC190" i="54"/>
  <c r="AB190" i="54"/>
  <c r="Z190" i="54"/>
  <c r="AB150" i="54"/>
  <c r="AE150" i="54"/>
  <c r="AC150" i="54"/>
  <c r="AD150" i="54"/>
  <c r="Z150" i="54"/>
  <c r="AA150" i="54"/>
  <c r="AD142" i="54"/>
  <c r="AA142" i="54"/>
  <c r="AB142" i="54"/>
  <c r="AE142" i="54"/>
  <c r="Z142" i="54"/>
  <c r="AC142" i="54"/>
  <c r="AC134" i="54"/>
  <c r="AD134" i="54"/>
  <c r="AE134" i="54"/>
  <c r="Z134" i="54"/>
  <c r="AB134" i="54"/>
  <c r="AA134" i="54"/>
  <c r="AA94" i="54"/>
  <c r="AC94" i="54"/>
  <c r="AE94" i="54"/>
  <c r="Z94" i="54"/>
  <c r="AD94" i="54"/>
  <c r="AB94" i="54"/>
  <c r="AA213" i="54"/>
  <c r="AB213" i="54"/>
  <c r="AE213" i="54"/>
  <c r="AC213" i="54"/>
  <c r="AD213" i="54"/>
  <c r="Z213" i="54"/>
  <c r="AF213" i="54" s="1"/>
  <c r="AC197" i="54"/>
  <c r="AB197" i="54"/>
  <c r="AD197" i="54"/>
  <c r="AE197" i="54"/>
  <c r="Z197" i="54"/>
  <c r="AA197" i="54"/>
  <c r="AE165" i="54"/>
  <c r="AA165" i="54"/>
  <c r="AD165" i="54"/>
  <c r="Z165" i="54"/>
  <c r="AB165" i="54"/>
  <c r="AC165" i="54"/>
  <c r="AA117" i="54"/>
  <c r="AB117" i="54"/>
  <c r="Z117" i="54"/>
  <c r="AE117" i="54"/>
  <c r="AC117" i="54"/>
  <c r="AF117" i="54" s="1"/>
  <c r="AD117" i="54"/>
  <c r="AC109" i="54"/>
  <c r="AE109" i="54"/>
  <c r="Z109" i="54"/>
  <c r="AA109" i="54"/>
  <c r="AD109" i="54"/>
  <c r="AB109" i="54"/>
  <c r="AD93" i="54"/>
  <c r="AC93" i="54"/>
  <c r="AE93" i="54"/>
  <c r="AB93" i="54"/>
  <c r="Z93" i="54"/>
  <c r="AA93" i="54"/>
  <c r="AE77" i="54"/>
  <c r="AA77" i="54"/>
  <c r="AC77" i="54"/>
  <c r="AD77" i="54"/>
  <c r="AB77" i="54"/>
  <c r="Z77" i="54"/>
  <c r="AE74" i="54"/>
  <c r="AA74" i="54"/>
  <c r="AC74" i="54"/>
  <c r="AD74" i="54"/>
  <c r="Z74" i="54"/>
  <c r="AB74" i="54"/>
  <c r="AC212" i="54"/>
  <c r="AA212" i="54"/>
  <c r="AB212" i="54"/>
  <c r="AE212" i="54"/>
  <c r="AD212" i="54"/>
  <c r="Z212" i="54"/>
  <c r="AB204" i="54"/>
  <c r="AC204" i="54"/>
  <c r="AA204" i="54"/>
  <c r="Z204" i="54"/>
  <c r="AD204" i="54"/>
  <c r="AE204" i="54"/>
  <c r="AD196" i="54"/>
  <c r="AA196" i="54"/>
  <c r="AB196" i="54"/>
  <c r="AE196" i="54"/>
  <c r="AC196" i="54"/>
  <c r="Z196" i="54"/>
  <c r="AA188" i="54"/>
  <c r="AC188" i="54"/>
  <c r="Z188" i="54"/>
  <c r="AE188" i="54"/>
  <c r="AD188" i="54"/>
  <c r="AB188" i="54"/>
  <c r="AE180" i="54"/>
  <c r="AA180" i="54"/>
  <c r="AD180" i="54"/>
  <c r="Z180" i="54"/>
  <c r="AB180" i="54"/>
  <c r="AC180" i="54"/>
  <c r="AC172" i="54"/>
  <c r="AB172" i="54"/>
  <c r="AE172" i="54"/>
  <c r="AD172" i="54"/>
  <c r="Z172" i="54"/>
  <c r="AA172" i="54"/>
  <c r="AB164" i="54"/>
  <c r="AC164" i="54"/>
  <c r="AD164" i="54"/>
  <c r="AE164" i="54"/>
  <c r="Z164" i="54"/>
  <c r="AA164" i="54"/>
  <c r="AA156" i="54"/>
  <c r="AD156" i="54"/>
  <c r="AC156" i="54"/>
  <c r="AE156" i="54"/>
  <c r="Z156" i="54"/>
  <c r="AB156" i="54"/>
  <c r="AE148" i="54"/>
  <c r="AB148" i="54"/>
  <c r="AA148" i="54"/>
  <c r="AD148" i="54"/>
  <c r="AC148" i="54"/>
  <c r="Z148" i="54"/>
  <c r="AC140" i="54"/>
  <c r="AE140" i="54"/>
  <c r="AD140" i="54"/>
  <c r="AB140" i="54"/>
  <c r="AA140" i="54"/>
  <c r="Z140" i="54"/>
  <c r="AD132" i="54"/>
  <c r="AB132" i="54"/>
  <c r="AC132" i="54"/>
  <c r="AE132" i="54"/>
  <c r="AA132" i="54"/>
  <c r="Z132" i="54"/>
  <c r="AB124" i="54"/>
  <c r="AA124" i="54"/>
  <c r="Z124" i="54"/>
  <c r="AC124" i="54"/>
  <c r="AE124" i="54"/>
  <c r="AD124" i="54"/>
  <c r="AC116" i="54"/>
  <c r="AE116" i="54"/>
  <c r="Z116" i="54"/>
  <c r="AA116" i="54"/>
  <c r="AD116" i="54"/>
  <c r="AB116" i="54"/>
  <c r="AD108" i="54"/>
  <c r="AB108" i="54"/>
  <c r="AC108" i="54"/>
  <c r="AE108" i="54"/>
  <c r="AA108" i="54"/>
  <c r="Z108" i="54"/>
  <c r="AB100" i="54"/>
  <c r="AC100" i="54"/>
  <c r="AA100" i="54"/>
  <c r="AD100" i="54"/>
  <c r="Z100" i="54"/>
  <c r="AE100" i="54"/>
  <c r="AC92" i="54"/>
  <c r="AE92" i="54"/>
  <c r="AA92" i="54"/>
  <c r="Z92" i="54"/>
  <c r="AB92" i="54"/>
  <c r="AD92" i="54"/>
  <c r="AD84" i="54"/>
  <c r="AB84" i="54"/>
  <c r="Z84" i="54"/>
  <c r="AC84" i="54"/>
  <c r="AA84" i="54"/>
  <c r="AE84" i="54"/>
  <c r="AB76" i="54"/>
  <c r="AC76" i="54"/>
  <c r="AA76" i="54"/>
  <c r="AD76" i="54"/>
  <c r="AE76" i="54"/>
  <c r="Z76" i="54"/>
  <c r="AD208" i="54"/>
  <c r="AE208" i="54"/>
  <c r="Z208" i="54"/>
  <c r="AB208" i="54"/>
  <c r="AC208" i="54"/>
  <c r="AA208" i="54"/>
  <c r="AE176" i="54"/>
  <c r="AC176" i="54"/>
  <c r="AA176" i="54"/>
  <c r="Z176" i="54"/>
  <c r="AB176" i="54"/>
  <c r="AD176" i="54"/>
  <c r="AB144" i="54"/>
  <c r="AA144" i="54"/>
  <c r="Z144" i="54"/>
  <c r="AE144" i="54"/>
  <c r="AC144" i="54"/>
  <c r="AD144" i="54"/>
  <c r="AF144" i="54" s="1"/>
  <c r="AD96" i="54"/>
  <c r="AC96" i="54"/>
  <c r="AE96" i="54"/>
  <c r="Z96" i="54"/>
  <c r="AB96" i="54"/>
  <c r="AA96" i="54"/>
  <c r="AD174" i="54"/>
  <c r="AB174" i="54"/>
  <c r="AE174" i="54"/>
  <c r="AA174" i="54"/>
  <c r="AC174" i="54"/>
  <c r="Z174" i="54"/>
  <c r="AE126" i="54"/>
  <c r="AA126" i="54"/>
  <c r="AC126" i="54"/>
  <c r="AD126" i="54"/>
  <c r="AB126" i="54"/>
  <c r="Z126" i="54"/>
  <c r="AD205" i="54"/>
  <c r="AE205" i="54"/>
  <c r="AA205" i="54"/>
  <c r="Z205" i="54"/>
  <c r="AB205" i="54"/>
  <c r="AC205" i="54"/>
  <c r="AB189" i="54"/>
  <c r="AC189" i="54"/>
  <c r="AD189" i="54"/>
  <c r="AE189" i="54"/>
  <c r="Z189" i="54"/>
  <c r="AA189" i="54"/>
  <c r="AD173" i="54"/>
  <c r="AE173" i="54"/>
  <c r="AA173" i="54"/>
  <c r="AB173" i="54"/>
  <c r="AC173" i="54"/>
  <c r="Z173" i="54"/>
  <c r="AD157" i="54"/>
  <c r="AB157" i="54"/>
  <c r="Z157" i="54"/>
  <c r="AE157" i="54"/>
  <c r="AA157" i="54"/>
  <c r="AC157" i="54"/>
  <c r="AE141" i="54"/>
  <c r="AA141" i="54"/>
  <c r="AC141" i="54"/>
  <c r="AD141" i="54"/>
  <c r="AB141" i="54"/>
  <c r="Z141" i="54"/>
  <c r="AC133" i="54"/>
  <c r="AD133" i="54"/>
  <c r="Z133" i="54"/>
  <c r="AE133" i="54"/>
  <c r="AB133" i="54"/>
  <c r="AA133" i="54"/>
  <c r="AC219" i="54"/>
  <c r="AD219" i="54"/>
  <c r="Z219" i="54"/>
  <c r="AE219" i="54"/>
  <c r="AB219" i="54"/>
  <c r="AA219" i="54"/>
  <c r="AA211" i="54"/>
  <c r="AB211" i="54"/>
  <c r="AC211" i="54"/>
  <c r="Z211" i="54"/>
  <c r="AD211" i="54"/>
  <c r="AE211" i="54"/>
  <c r="AC203" i="54"/>
  <c r="AE203" i="54"/>
  <c r="AB203" i="54"/>
  <c r="AD203" i="54"/>
  <c r="AA203" i="54"/>
  <c r="Z203" i="54"/>
  <c r="AD195" i="54"/>
  <c r="AE195" i="54"/>
  <c r="Z195" i="54"/>
  <c r="AA195" i="54"/>
  <c r="AB195" i="54"/>
  <c r="AC195" i="54"/>
  <c r="AB187" i="54"/>
  <c r="AC187" i="54"/>
  <c r="AD187" i="54"/>
  <c r="AE187" i="54"/>
  <c r="AA187" i="54"/>
  <c r="Z187" i="54"/>
  <c r="AB179" i="54"/>
  <c r="AC179" i="54"/>
  <c r="AA179" i="54"/>
  <c r="Z179" i="54"/>
  <c r="AE179" i="54"/>
  <c r="AD179" i="54"/>
  <c r="AA171" i="54"/>
  <c r="AD171" i="54"/>
  <c r="AE171" i="54"/>
  <c r="AB171" i="54"/>
  <c r="AC171" i="54"/>
  <c r="Z171" i="54"/>
  <c r="AC163" i="54"/>
  <c r="AE163" i="54"/>
  <c r="Z163" i="54"/>
  <c r="AB163" i="54"/>
  <c r="AA163" i="54"/>
  <c r="AD163" i="54"/>
  <c r="Z155" i="54"/>
  <c r="AB155" i="54"/>
  <c r="AC155" i="54"/>
  <c r="AD155" i="54"/>
  <c r="AE155" i="54"/>
  <c r="AA155" i="54"/>
  <c r="AC147" i="54"/>
  <c r="AE147" i="54"/>
  <c r="AA147" i="54"/>
  <c r="Z147" i="54"/>
  <c r="AB147" i="54"/>
  <c r="AD147" i="54"/>
  <c r="AE139" i="54"/>
  <c r="AB139" i="54"/>
  <c r="AC139" i="54"/>
  <c r="Z139" i="54"/>
  <c r="AA139" i="54"/>
  <c r="AD139" i="54"/>
  <c r="AB131" i="54"/>
  <c r="AE131" i="54"/>
  <c r="AA131" i="54"/>
  <c r="AD131" i="54"/>
  <c r="Z131" i="54"/>
  <c r="AC131" i="54"/>
  <c r="AA123" i="54"/>
  <c r="AD123" i="54"/>
  <c r="AE123" i="54"/>
  <c r="AB123" i="54"/>
  <c r="AC123" i="54"/>
  <c r="Z123" i="54"/>
  <c r="AC115" i="54"/>
  <c r="Z115" i="54"/>
  <c r="AE115" i="54"/>
  <c r="AB115" i="54"/>
  <c r="AA115" i="54"/>
  <c r="AD115" i="54"/>
  <c r="AB107" i="54"/>
  <c r="AC107" i="54"/>
  <c r="AE107" i="54"/>
  <c r="AA107" i="54"/>
  <c r="AD107" i="54"/>
  <c r="Z107" i="54"/>
  <c r="AF107" i="54" s="1"/>
  <c r="AD99" i="54"/>
  <c r="AE99" i="54"/>
  <c r="Z99" i="54"/>
  <c r="AB99" i="54"/>
  <c r="AC99" i="54"/>
  <c r="AA99" i="54"/>
  <c r="AC91" i="54"/>
  <c r="AD91" i="54"/>
  <c r="AB91" i="54"/>
  <c r="AE91" i="54"/>
  <c r="Z91" i="54"/>
  <c r="AA91" i="54"/>
  <c r="AB83" i="54"/>
  <c r="AC83" i="54"/>
  <c r="AE83" i="54"/>
  <c r="AD83" i="54"/>
  <c r="AA83" i="54"/>
  <c r="Z83" i="54"/>
  <c r="AD75" i="54"/>
  <c r="AE75" i="54"/>
  <c r="Z75" i="54"/>
  <c r="AB75" i="54"/>
  <c r="AC75" i="54"/>
  <c r="AA75" i="54"/>
  <c r="AF184" i="54"/>
  <c r="AA160" i="54"/>
  <c r="AC160" i="54"/>
  <c r="AE160" i="54"/>
  <c r="AD160" i="54"/>
  <c r="AB160" i="54"/>
  <c r="Z160" i="54"/>
  <c r="AE218" i="54"/>
  <c r="AA218" i="54"/>
  <c r="AC218" i="54"/>
  <c r="AD218" i="54"/>
  <c r="Z218" i="54"/>
  <c r="AB218" i="54"/>
  <c r="AB210" i="54"/>
  <c r="AC210" i="54"/>
  <c r="AD210" i="54"/>
  <c r="AE210" i="54"/>
  <c r="Z210" i="54"/>
  <c r="AA210" i="54"/>
  <c r="AD202" i="54"/>
  <c r="AE202" i="54"/>
  <c r="AB202" i="54"/>
  <c r="AC202" i="54"/>
  <c r="AA202" i="54"/>
  <c r="Z202" i="54"/>
  <c r="AC194" i="54"/>
  <c r="Z194" i="54"/>
  <c r="AD194" i="54"/>
  <c r="AE194" i="54"/>
  <c r="AA194" i="54"/>
  <c r="AB194" i="54"/>
  <c r="AA186" i="54"/>
  <c r="AD186" i="54"/>
  <c r="AE186" i="54"/>
  <c r="Z186" i="54"/>
  <c r="AC186" i="54"/>
  <c r="AB186" i="54"/>
  <c r="AC178" i="54"/>
  <c r="AD178" i="54"/>
  <c r="AE178" i="54"/>
  <c r="AB178" i="54"/>
  <c r="AA178" i="54"/>
  <c r="Z178" i="54"/>
  <c r="AE170" i="54"/>
  <c r="AC170" i="54"/>
  <c r="AD170" i="54"/>
  <c r="AA170" i="54"/>
  <c r="AB170" i="54"/>
  <c r="Z170" i="54"/>
  <c r="AA162" i="54"/>
  <c r="AB162" i="54"/>
  <c r="AC162" i="54"/>
  <c r="Z162" i="54"/>
  <c r="AE162" i="54"/>
  <c r="AD162" i="54"/>
  <c r="AD154" i="54"/>
  <c r="AA154" i="54"/>
  <c r="AE154" i="54"/>
  <c r="AC154" i="54"/>
  <c r="Z154" i="54"/>
  <c r="AB154" i="54"/>
  <c r="AD146" i="54"/>
  <c r="AE146" i="54"/>
  <c r="AA146" i="54"/>
  <c r="AC146" i="54"/>
  <c r="Z146" i="54"/>
  <c r="AB146" i="54"/>
  <c r="AC138" i="54"/>
  <c r="AA138" i="54"/>
  <c r="AD138" i="54"/>
  <c r="AE138" i="54"/>
  <c r="Z138" i="54"/>
  <c r="AB138" i="54"/>
  <c r="AE130" i="54"/>
  <c r="AA130" i="54"/>
  <c r="Z130" i="54"/>
  <c r="AD130" i="54"/>
  <c r="AC130" i="54"/>
  <c r="AB130" i="54"/>
  <c r="AC122" i="54"/>
  <c r="AB122" i="54"/>
  <c r="AD122" i="54"/>
  <c r="AE122" i="54"/>
  <c r="Z122" i="54"/>
  <c r="AA122" i="54"/>
  <c r="AB114" i="54"/>
  <c r="AC114" i="54"/>
  <c r="AD114" i="54"/>
  <c r="AA114" i="54"/>
  <c r="Z114" i="54"/>
  <c r="AE114" i="54"/>
  <c r="AE106" i="54"/>
  <c r="AD106" i="54"/>
  <c r="AC106" i="54"/>
  <c r="AA106" i="54"/>
  <c r="Z106" i="54"/>
  <c r="AB106" i="54"/>
  <c r="AC98" i="54"/>
  <c r="AD98" i="54"/>
  <c r="Z98" i="54"/>
  <c r="AE98" i="54"/>
  <c r="AA98" i="54"/>
  <c r="AB98" i="54"/>
  <c r="AD90" i="54"/>
  <c r="AC90" i="54"/>
  <c r="AA90" i="54"/>
  <c r="Z90" i="54"/>
  <c r="AE90" i="54"/>
  <c r="AB90" i="54"/>
  <c r="AE82" i="54"/>
  <c r="Z82" i="54"/>
  <c r="AA82" i="54"/>
  <c r="AB82" i="54"/>
  <c r="AD82" i="54"/>
  <c r="AC82" i="54"/>
  <c r="AF200" i="54"/>
  <c r="AE217" i="54"/>
  <c r="AA217" i="54"/>
  <c r="AD217" i="54"/>
  <c r="AB217" i="54"/>
  <c r="AC217" i="54"/>
  <c r="Z217" i="54"/>
  <c r="AE209" i="54"/>
  <c r="AB209" i="54"/>
  <c r="AA209" i="54"/>
  <c r="AD209" i="54"/>
  <c r="AC209" i="54"/>
  <c r="Z209" i="54"/>
  <c r="AA201" i="54"/>
  <c r="AD201" i="54"/>
  <c r="Z201" i="54"/>
  <c r="AC201" i="54"/>
  <c r="AE201" i="54"/>
  <c r="AB201" i="54"/>
  <c r="AE193" i="54"/>
  <c r="AA193" i="54"/>
  <c r="AC193" i="54"/>
  <c r="AB193" i="54"/>
  <c r="AD193" i="54"/>
  <c r="Z193" i="54"/>
  <c r="AD185" i="54"/>
  <c r="Z185" i="54"/>
  <c r="AE185" i="54"/>
  <c r="AA185" i="54"/>
  <c r="AC185" i="54"/>
  <c r="AB185" i="54"/>
  <c r="AD177" i="54"/>
  <c r="AE177" i="54"/>
  <c r="Z177" i="54"/>
  <c r="AB177" i="54"/>
  <c r="AC177" i="54"/>
  <c r="AA177" i="54"/>
  <c r="AE169" i="54"/>
  <c r="AC169" i="54"/>
  <c r="AA169" i="54"/>
  <c r="AD169" i="54"/>
  <c r="Z169" i="54"/>
  <c r="AB169" i="54"/>
  <c r="AE161" i="54"/>
  <c r="AC161" i="54"/>
  <c r="AA161" i="54"/>
  <c r="AB161" i="54"/>
  <c r="AD161" i="54"/>
  <c r="Z161" i="54"/>
  <c r="AA153" i="54"/>
  <c r="AB153" i="54"/>
  <c r="AE153" i="54"/>
  <c r="Z153" i="54"/>
  <c r="AC153" i="54"/>
  <c r="AD153" i="54"/>
  <c r="AB145" i="54"/>
  <c r="AE145" i="54"/>
  <c r="AC145" i="54"/>
  <c r="AA145" i="54"/>
  <c r="AD145" i="54"/>
  <c r="Z145" i="54"/>
  <c r="AD137" i="54"/>
  <c r="AA137" i="54"/>
  <c r="AB137" i="54"/>
  <c r="Z137" i="54"/>
  <c r="AE137" i="54"/>
  <c r="AC137" i="54"/>
  <c r="AD129" i="54"/>
  <c r="AC129" i="54"/>
  <c r="AA129" i="54"/>
  <c r="Z129" i="54"/>
  <c r="AB129" i="54"/>
  <c r="AE129" i="54"/>
  <c r="AD121" i="54"/>
  <c r="Z121" i="54"/>
  <c r="AE121" i="54"/>
  <c r="AC121" i="54"/>
  <c r="AA121" i="54"/>
  <c r="AB121" i="54"/>
  <c r="AB113" i="54"/>
  <c r="AD113" i="54"/>
  <c r="AA113" i="54"/>
  <c r="AE113" i="54"/>
  <c r="Z113" i="54"/>
  <c r="AC113" i="54"/>
  <c r="AA105" i="54"/>
  <c r="AB105" i="54"/>
  <c r="AC105" i="54"/>
  <c r="AD105" i="54"/>
  <c r="Z105" i="54"/>
  <c r="AE105" i="54"/>
  <c r="AB97" i="54"/>
  <c r="AD97" i="54"/>
  <c r="Z97" i="54"/>
  <c r="AA97" i="54"/>
  <c r="AE97" i="54"/>
  <c r="AC97" i="54"/>
  <c r="AC89" i="54"/>
  <c r="AA89" i="54"/>
  <c r="AD89" i="54"/>
  <c r="Z89" i="54"/>
  <c r="AE89" i="54"/>
  <c r="AB89" i="54"/>
  <c r="AB81" i="54"/>
  <c r="AD81" i="54"/>
  <c r="Z81" i="54"/>
  <c r="AA81" i="54"/>
  <c r="AE81" i="54"/>
  <c r="AC81" i="54"/>
  <c r="AF183" i="54"/>
  <c r="P65" i="11"/>
  <c r="L65" i="11"/>
  <c r="M65" i="11"/>
  <c r="N65" i="11"/>
  <c r="O65" i="11"/>
  <c r="J65" i="11"/>
  <c r="Q65" i="11" s="1"/>
  <c r="Q102" i="11"/>
  <c r="F102" i="11"/>
  <c r="M62" i="11"/>
  <c r="O60" i="11"/>
  <c r="O62" i="11"/>
  <c r="J60" i="11"/>
  <c r="I61" i="11"/>
  <c r="M57" i="11"/>
  <c r="L58" i="11"/>
  <c r="K60" i="11"/>
  <c r="J59" i="11"/>
  <c r="O59" i="11"/>
  <c r="I58" i="11"/>
  <c r="I62" i="11"/>
  <c r="P58" i="11"/>
  <c r="N58" i="11"/>
  <c r="N62" i="11"/>
  <c r="I57" i="11"/>
  <c r="J58" i="11"/>
  <c r="N61" i="11"/>
  <c r="L57" i="11"/>
  <c r="P61" i="11"/>
  <c r="K58" i="11"/>
  <c r="O58" i="11"/>
  <c r="I60" i="11"/>
  <c r="K57" i="11"/>
  <c r="O57" i="11"/>
  <c r="I59" i="11"/>
  <c r="L61" i="11"/>
  <c r="O61" i="11"/>
  <c r="M58" i="11"/>
  <c r="N60" i="11"/>
  <c r="P60" i="11"/>
  <c r="H59" i="11"/>
  <c r="K61" i="11"/>
  <c r="L62" i="11"/>
  <c r="P62" i="11"/>
  <c r="H58" i="11"/>
  <c r="M59" i="11"/>
  <c r="H60" i="11"/>
  <c r="J57" i="11"/>
  <c r="L59" i="11"/>
  <c r="J61" i="11"/>
  <c r="H62" i="11"/>
  <c r="H61" i="11"/>
  <c r="L60" i="11"/>
  <c r="N57" i="11"/>
  <c r="N59" i="11"/>
  <c r="P59" i="11"/>
  <c r="K62" i="11"/>
  <c r="H57" i="11"/>
  <c r="M61" i="11"/>
  <c r="P57" i="11"/>
  <c r="M60" i="11"/>
  <c r="K59" i="11"/>
  <c r="J62" i="11"/>
  <c r="K219" i="62"/>
  <c r="K71" i="62"/>
  <c r="J221" i="62"/>
  <c r="V221" i="61"/>
  <c r="T221" i="61"/>
  <c r="R221" i="61"/>
  <c r="X219" i="61"/>
  <c r="X71" i="61"/>
  <c r="Q221" i="61"/>
  <c r="N221" i="62"/>
  <c r="O221" i="62"/>
  <c r="H221" i="62"/>
  <c r="I221" i="62"/>
  <c r="M221" i="62"/>
  <c r="P221" i="62"/>
  <c r="N71" i="61"/>
  <c r="N221" i="61" s="1"/>
  <c r="O186" i="61"/>
  <c r="M219" i="61"/>
  <c r="M71" i="61"/>
  <c r="M221" i="61" s="1"/>
  <c r="L221" i="61"/>
  <c r="O160" i="61"/>
  <c r="O207" i="61"/>
  <c r="O191" i="61"/>
  <c r="O183" i="61"/>
  <c r="O175" i="61"/>
  <c r="O167" i="61"/>
  <c r="O151" i="61"/>
  <c r="O143" i="61"/>
  <c r="O135" i="61"/>
  <c r="O127" i="61"/>
  <c r="O119" i="61"/>
  <c r="O111" i="61"/>
  <c r="O95" i="61"/>
  <c r="O87" i="61"/>
  <c r="O79" i="61"/>
  <c r="O104" i="61"/>
  <c r="O211" i="61"/>
  <c r="O179" i="61"/>
  <c r="O82" i="61"/>
  <c r="O215" i="61"/>
  <c r="O105" i="61"/>
  <c r="O200" i="61"/>
  <c r="O80" i="61"/>
  <c r="O217" i="61"/>
  <c r="O209" i="61"/>
  <c r="O185" i="61"/>
  <c r="O177" i="61"/>
  <c r="O169" i="61"/>
  <c r="O161" i="61"/>
  <c r="O137" i="61"/>
  <c r="O129" i="61"/>
  <c r="O121" i="61"/>
  <c r="O113" i="61"/>
  <c r="O97" i="61"/>
  <c r="O89" i="61"/>
  <c r="O216" i="61"/>
  <c r="O208" i="61"/>
  <c r="O184" i="61"/>
  <c r="O176" i="61"/>
  <c r="O168" i="61"/>
  <c r="O144" i="61"/>
  <c r="O136" i="61"/>
  <c r="O128" i="61"/>
  <c r="O112" i="61"/>
  <c r="O96" i="61"/>
  <c r="O88" i="61"/>
  <c r="O152" i="61"/>
  <c r="O201" i="61"/>
  <c r="O81" i="61"/>
  <c r="O182" i="61"/>
  <c r="O174" i="61"/>
  <c r="O166" i="61"/>
  <c r="O150" i="61"/>
  <c r="O118" i="61"/>
  <c r="O110" i="61"/>
  <c r="O102" i="61"/>
  <c r="O94" i="61"/>
  <c r="O86" i="61"/>
  <c r="O83" i="61"/>
  <c r="O141" i="61"/>
  <c r="O133" i="61"/>
  <c r="O125" i="61"/>
  <c r="O117" i="61"/>
  <c r="O109" i="61"/>
  <c r="O101" i="61"/>
  <c r="O93" i="61"/>
  <c r="O85" i="61"/>
  <c r="O77" i="61"/>
  <c r="I219" i="61"/>
  <c r="O190" i="61"/>
  <c r="O158" i="61"/>
  <c r="O142" i="61"/>
  <c r="O134" i="61"/>
  <c r="O126" i="61"/>
  <c r="O188" i="61"/>
  <c r="O172" i="61"/>
  <c r="O164" i="61"/>
  <c r="O148" i="61"/>
  <c r="O140" i="61"/>
  <c r="O132" i="61"/>
  <c r="O124" i="61"/>
  <c r="O116" i="61"/>
  <c r="O108" i="61"/>
  <c r="O100" i="61"/>
  <c r="O92" i="61"/>
  <c r="O84" i="61"/>
  <c r="O76" i="61"/>
  <c r="O212" i="61"/>
  <c r="O204" i="61"/>
  <c r="O196" i="61"/>
  <c r="O162" i="61"/>
  <c r="O203" i="61"/>
  <c r="O195" i="61"/>
  <c r="O163" i="61"/>
  <c r="O155" i="61"/>
  <c r="O147" i="61"/>
  <c r="O202" i="61"/>
  <c r="O194" i="61"/>
  <c r="O193" i="61"/>
  <c r="O153" i="61"/>
  <c r="O192" i="61"/>
  <c r="O213" i="61"/>
  <c r="O205" i="61"/>
  <c r="O197" i="61"/>
  <c r="O189" i="61"/>
  <c r="O181" i="61"/>
  <c r="O173" i="61"/>
  <c r="O165" i="61"/>
  <c r="O157" i="61"/>
  <c r="O154" i="61"/>
  <c r="O146" i="61"/>
  <c r="O149" i="61"/>
  <c r="O180" i="61"/>
  <c r="O123" i="61"/>
  <c r="O145" i="61"/>
  <c r="O120" i="61"/>
  <c r="O214" i="61"/>
  <c r="O206" i="61"/>
  <c r="O198" i="61"/>
  <c r="O73" i="61"/>
  <c r="O8" i="61"/>
  <c r="O71" i="61" s="1"/>
  <c r="O52" i="11" l="1"/>
  <c r="AF156" i="54"/>
  <c r="AF118" i="54"/>
  <c r="AF85" i="54"/>
  <c r="AF102" i="54"/>
  <c r="AF120" i="54"/>
  <c r="AF189" i="54"/>
  <c r="AF108" i="54"/>
  <c r="AF197" i="54"/>
  <c r="AF125" i="54"/>
  <c r="AF219" i="54"/>
  <c r="AF208" i="54"/>
  <c r="AF151" i="54"/>
  <c r="AF119" i="54"/>
  <c r="AF182" i="54"/>
  <c r="AF116" i="54"/>
  <c r="AF90" i="54"/>
  <c r="AF114" i="54"/>
  <c r="AF146" i="54"/>
  <c r="AF210" i="54"/>
  <c r="AF87" i="54"/>
  <c r="AF145" i="54"/>
  <c r="AF115" i="54"/>
  <c r="AF161" i="54"/>
  <c r="AF209" i="54"/>
  <c r="AF170" i="54"/>
  <c r="AF202" i="54"/>
  <c r="AF131" i="54"/>
  <c r="AF142" i="54"/>
  <c r="AF80" i="54"/>
  <c r="AF135" i="54"/>
  <c r="AF217" i="54"/>
  <c r="F52" i="11"/>
  <c r="I52" i="11"/>
  <c r="L52" i="11"/>
  <c r="G52" i="11"/>
  <c r="N52" i="11"/>
  <c r="Q50" i="11"/>
  <c r="S50" i="11"/>
  <c r="J52" i="11"/>
  <c r="M52" i="11"/>
  <c r="S51" i="11"/>
  <c r="Q51" i="11"/>
  <c r="P52" i="11"/>
  <c r="E52" i="11"/>
  <c r="Q49" i="11"/>
  <c r="H52" i="11"/>
  <c r="K52" i="11"/>
  <c r="Q58" i="11"/>
  <c r="AF138" i="54"/>
  <c r="AF187" i="54"/>
  <c r="AF97" i="54"/>
  <c r="AF160" i="54"/>
  <c r="AF139" i="54"/>
  <c r="AF205" i="54"/>
  <c r="AF96" i="54"/>
  <c r="AF74" i="54"/>
  <c r="AF101" i="54"/>
  <c r="AF149" i="54"/>
  <c r="AF110" i="54"/>
  <c r="AF104" i="54"/>
  <c r="AF129" i="54"/>
  <c r="AF106" i="54"/>
  <c r="AF155" i="54"/>
  <c r="AF82" i="54"/>
  <c r="AF89" i="54"/>
  <c r="AF153" i="54"/>
  <c r="AF193" i="54"/>
  <c r="AF75" i="54"/>
  <c r="AF211" i="54"/>
  <c r="AF92" i="54"/>
  <c r="AF148" i="54"/>
  <c r="AF212" i="54"/>
  <c r="AF165" i="54"/>
  <c r="AF94" i="54"/>
  <c r="AF150" i="54"/>
  <c r="AF214" i="54"/>
  <c r="AF136" i="54"/>
  <c r="AF166" i="54"/>
  <c r="AF113" i="54"/>
  <c r="AF162" i="54"/>
  <c r="AF174" i="54"/>
  <c r="AF84" i="54"/>
  <c r="AF100" i="54"/>
  <c r="AF124" i="54"/>
  <c r="AF188" i="54"/>
  <c r="AF168" i="54"/>
  <c r="AF216" i="54"/>
  <c r="AF86" i="54"/>
  <c r="AF103" i="54"/>
  <c r="AF199" i="54"/>
  <c r="AF121" i="54"/>
  <c r="AF130" i="54"/>
  <c r="AF99" i="54"/>
  <c r="AF163" i="54"/>
  <c r="AF76" i="54"/>
  <c r="AF140" i="54"/>
  <c r="AF172" i="54"/>
  <c r="AF180" i="54"/>
  <c r="AF93" i="54"/>
  <c r="AF109" i="54"/>
  <c r="AF192" i="54"/>
  <c r="AF79" i="54"/>
  <c r="AF167" i="54"/>
  <c r="AF185" i="54"/>
  <c r="AF98" i="54"/>
  <c r="AF122" i="54"/>
  <c r="AF154" i="54"/>
  <c r="AF218" i="54"/>
  <c r="AF91" i="54"/>
  <c r="AF171" i="54"/>
  <c r="AF195" i="54"/>
  <c r="AF173" i="54"/>
  <c r="AF105" i="54"/>
  <c r="AF169" i="54"/>
  <c r="AF177" i="54"/>
  <c r="AF178" i="54"/>
  <c r="AF186" i="54"/>
  <c r="AF194" i="54"/>
  <c r="AF83" i="54"/>
  <c r="AF126" i="54"/>
  <c r="AF181" i="54"/>
  <c r="AF78" i="54"/>
  <c r="AF198" i="54"/>
  <c r="AF112" i="54"/>
  <c r="AF132" i="54"/>
  <c r="AF196" i="54"/>
  <c r="AF204" i="54"/>
  <c r="AF134" i="54"/>
  <c r="AF201" i="54"/>
  <c r="AF164" i="54"/>
  <c r="AF179" i="54"/>
  <c r="AF137" i="54"/>
  <c r="AF123" i="54"/>
  <c r="AF203" i="54"/>
  <c r="AF141" i="54"/>
  <c r="AF157" i="54"/>
  <c r="AF176" i="54"/>
  <c r="AF190" i="54"/>
  <c r="AF158" i="54"/>
  <c r="AF128" i="54"/>
  <c r="AF127" i="54"/>
  <c r="AF77" i="54"/>
  <c r="AF215" i="54"/>
  <c r="AF133" i="54"/>
  <c r="AF81" i="54"/>
  <c r="AF95" i="54"/>
  <c r="AF191" i="54"/>
  <c r="AF147" i="54"/>
  <c r="Q59" i="11"/>
  <c r="Q60" i="11"/>
  <c r="Q62" i="11"/>
  <c r="Q61" i="11"/>
  <c r="Q57" i="11"/>
  <c r="S58" i="11"/>
  <c r="S61" i="11"/>
  <c r="K221" i="62"/>
  <c r="X221" i="61"/>
  <c r="I221" i="61"/>
  <c r="O219" i="61" l="1"/>
  <c r="K219" i="61"/>
  <c r="J219" i="61"/>
  <c r="H219" i="61"/>
  <c r="K221" i="61" l="1"/>
  <c r="J221" i="61"/>
  <c r="O221" i="61"/>
  <c r="H221" i="61"/>
  <c r="AI220" i="54" l="1"/>
  <c r="AJ220" i="54"/>
  <c r="AK220" i="54"/>
  <c r="AL220" i="54"/>
  <c r="I67" i="59" l="1"/>
  <c r="N218" i="49" l="1"/>
  <c r="L220" i="54" l="1"/>
  <c r="L222" i="54" s="1"/>
  <c r="M220" i="54"/>
  <c r="N220" i="54"/>
  <c r="O220" i="54"/>
  <c r="P220" i="54"/>
  <c r="Q220" i="54"/>
  <c r="R220" i="54"/>
  <c r="S9" i="54"/>
  <c r="S10" i="54"/>
  <c r="S11" i="54"/>
  <c r="S12" i="54"/>
  <c r="S13" i="54"/>
  <c r="S14" i="54"/>
  <c r="S15" i="54"/>
  <c r="S16" i="54"/>
  <c r="S17" i="54"/>
  <c r="S18" i="54"/>
  <c r="S19" i="54"/>
  <c r="S20" i="54"/>
  <c r="S21" i="54"/>
  <c r="S22" i="54"/>
  <c r="S23" i="54"/>
  <c r="S24" i="54"/>
  <c r="S25" i="54"/>
  <c r="S26" i="54"/>
  <c r="S27" i="54"/>
  <c r="S28" i="54"/>
  <c r="S29" i="54"/>
  <c r="S30" i="54"/>
  <c r="S31" i="54"/>
  <c r="S32" i="54"/>
  <c r="S33" i="54"/>
  <c r="S34" i="54"/>
  <c r="S35" i="54"/>
  <c r="S36" i="54"/>
  <c r="S37" i="54"/>
  <c r="S38" i="54"/>
  <c r="S39" i="54"/>
  <c r="S40" i="54"/>
  <c r="S41" i="54"/>
  <c r="S42" i="54"/>
  <c r="S43" i="54"/>
  <c r="S44" i="54"/>
  <c r="S45" i="54"/>
  <c r="S46" i="54"/>
  <c r="S47" i="54"/>
  <c r="S48" i="54"/>
  <c r="S49" i="54"/>
  <c r="S50" i="54"/>
  <c r="S51" i="54"/>
  <c r="S52" i="54"/>
  <c r="S53" i="54"/>
  <c r="S54" i="54"/>
  <c r="S55" i="54"/>
  <c r="S56" i="54"/>
  <c r="S57" i="54"/>
  <c r="S58" i="54"/>
  <c r="S59" i="54"/>
  <c r="S60" i="54"/>
  <c r="S61" i="54"/>
  <c r="S62" i="54"/>
  <c r="S63" i="54"/>
  <c r="S64" i="54"/>
  <c r="S65" i="54"/>
  <c r="S66" i="54"/>
  <c r="S67" i="54"/>
  <c r="S68" i="54"/>
  <c r="S69" i="54"/>
  <c r="S70" i="54"/>
  <c r="S8" i="54"/>
  <c r="Q16" i="11"/>
  <c r="I70" i="49"/>
  <c r="J70" i="49"/>
  <c r="K70" i="49"/>
  <c r="L70" i="49"/>
  <c r="M70" i="49"/>
  <c r="N70" i="49"/>
  <c r="N220" i="49" s="1"/>
  <c r="O70" i="49"/>
  <c r="P70" i="49"/>
  <c r="Q70" i="49"/>
  <c r="R70" i="49"/>
  <c r="S70" i="49"/>
  <c r="T70" i="49"/>
  <c r="U70" i="49"/>
  <c r="V70" i="49"/>
  <c r="W70" i="49"/>
  <c r="X70" i="49"/>
  <c r="Y70" i="49"/>
  <c r="Z70" i="49"/>
  <c r="AA70" i="49"/>
  <c r="AB70" i="49"/>
  <c r="AC70" i="49"/>
  <c r="AD70" i="49"/>
  <c r="AE70" i="49"/>
  <c r="AF70" i="49"/>
  <c r="AG70" i="49"/>
  <c r="AH70" i="49"/>
  <c r="AI70" i="49"/>
  <c r="AJ70" i="49"/>
  <c r="AK70" i="49"/>
  <c r="AL70" i="49"/>
  <c r="AM70" i="49"/>
  <c r="H70" i="49"/>
  <c r="I218" i="49"/>
  <c r="J218" i="49"/>
  <c r="K218" i="49"/>
  <c r="L218" i="49"/>
  <c r="M218" i="49"/>
  <c r="O218" i="49"/>
  <c r="P218" i="49"/>
  <c r="Q218" i="49"/>
  <c r="R218" i="49"/>
  <c r="S218" i="49"/>
  <c r="T218" i="49"/>
  <c r="U218" i="49"/>
  <c r="V218" i="49"/>
  <c r="W218" i="49"/>
  <c r="X218" i="49"/>
  <c r="Y218" i="49"/>
  <c r="Z218" i="49"/>
  <c r="Z220" i="49" s="1"/>
  <c r="AA218" i="49"/>
  <c r="AB218" i="49"/>
  <c r="AC218" i="49"/>
  <c r="AD218" i="49"/>
  <c r="AE218" i="49"/>
  <c r="AF218" i="49"/>
  <c r="AG218" i="49"/>
  <c r="AH218" i="49"/>
  <c r="AH220" i="49" s="1"/>
  <c r="AI218" i="49"/>
  <c r="AJ218" i="49"/>
  <c r="AK218" i="49"/>
  <c r="AL218" i="49"/>
  <c r="AM218" i="49"/>
  <c r="H218" i="49"/>
  <c r="W220" i="49" l="1"/>
  <c r="U220" i="49"/>
  <c r="K220" i="49"/>
  <c r="AG220" i="49"/>
  <c r="Y220" i="49"/>
  <c r="AF220" i="49"/>
  <c r="AM220" i="49"/>
  <c r="AE220" i="49"/>
  <c r="AI220" i="49"/>
  <c r="AA220" i="49"/>
  <c r="H220" i="49"/>
  <c r="L220" i="49"/>
  <c r="AD220" i="49"/>
  <c r="AK220" i="49"/>
  <c r="AC220" i="49"/>
  <c r="AL220" i="49"/>
  <c r="AJ220" i="49"/>
  <c r="AB220" i="49"/>
  <c r="R222" i="54"/>
  <c r="AD37" i="54"/>
  <c r="AE37" i="54"/>
  <c r="Z37" i="54"/>
  <c r="AA37" i="54"/>
  <c r="AB37" i="54"/>
  <c r="AC37" i="54"/>
  <c r="AB68" i="54"/>
  <c r="AC68" i="54"/>
  <c r="AE68" i="54"/>
  <c r="AA68" i="54"/>
  <c r="AD68" i="54"/>
  <c r="Z68" i="54"/>
  <c r="AB28" i="54"/>
  <c r="AC28" i="54"/>
  <c r="AE28" i="54"/>
  <c r="AA28" i="54"/>
  <c r="AD28" i="54"/>
  <c r="Z28" i="54"/>
  <c r="AB66" i="54"/>
  <c r="AD66" i="54"/>
  <c r="Z66" i="54"/>
  <c r="AA66" i="54"/>
  <c r="AC66" i="54"/>
  <c r="AE66" i="54"/>
  <c r="AD69" i="54"/>
  <c r="AC69" i="54"/>
  <c r="AE69" i="54"/>
  <c r="AA69" i="54"/>
  <c r="Z69" i="54"/>
  <c r="AB69" i="54"/>
  <c r="AC21" i="54"/>
  <c r="AD21" i="54"/>
  <c r="AE21" i="54"/>
  <c r="AB21" i="54"/>
  <c r="Z21" i="54"/>
  <c r="AA21" i="54"/>
  <c r="AB36" i="54"/>
  <c r="AA36" i="54"/>
  <c r="AC36" i="54"/>
  <c r="AD36" i="54"/>
  <c r="Z36" i="54"/>
  <c r="AE36" i="54"/>
  <c r="Z27" i="54"/>
  <c r="AA27" i="54"/>
  <c r="AC27" i="54"/>
  <c r="AB27" i="54"/>
  <c r="AD27" i="54"/>
  <c r="AE27" i="54"/>
  <c r="AB58" i="54"/>
  <c r="AD58" i="54"/>
  <c r="Z58" i="54"/>
  <c r="AC58" i="54"/>
  <c r="AA58" i="54"/>
  <c r="AE58" i="54"/>
  <c r="AA34" i="54"/>
  <c r="AD34" i="54"/>
  <c r="AB34" i="54"/>
  <c r="Z34" i="54"/>
  <c r="AC34" i="54"/>
  <c r="AE34" i="54"/>
  <c r="AD65" i="54"/>
  <c r="AE65" i="54"/>
  <c r="AC65" i="54"/>
  <c r="Z65" i="54"/>
  <c r="AB65" i="54"/>
  <c r="AA65" i="54"/>
  <c r="AD41" i="54"/>
  <c r="AC41" i="54"/>
  <c r="AE41" i="54"/>
  <c r="Z41" i="54"/>
  <c r="AA41" i="54"/>
  <c r="AB41" i="54"/>
  <c r="AD33" i="54"/>
  <c r="AB33" i="54"/>
  <c r="AC33" i="54"/>
  <c r="AE33" i="54"/>
  <c r="AA33" i="54"/>
  <c r="Z33" i="54"/>
  <c r="AC25" i="54"/>
  <c r="AD25" i="54"/>
  <c r="AE25" i="54"/>
  <c r="Z25" i="54"/>
  <c r="AA25" i="54"/>
  <c r="AB25" i="54"/>
  <c r="AC17" i="54"/>
  <c r="AD17" i="54"/>
  <c r="AE17" i="54"/>
  <c r="AB17" i="54"/>
  <c r="Z17" i="54"/>
  <c r="AA17" i="54"/>
  <c r="AC9" i="54"/>
  <c r="AD9" i="54"/>
  <c r="AE9" i="54"/>
  <c r="AA9" i="54"/>
  <c r="Z9" i="54"/>
  <c r="AB9" i="54"/>
  <c r="AD45" i="54"/>
  <c r="AB45" i="54"/>
  <c r="AE45" i="54"/>
  <c r="Z45" i="54"/>
  <c r="AA45" i="54"/>
  <c r="AC45" i="54"/>
  <c r="AB52" i="54"/>
  <c r="Z52" i="54"/>
  <c r="AA52" i="54"/>
  <c r="AC52" i="54"/>
  <c r="AD52" i="54"/>
  <c r="AE52" i="54"/>
  <c r="AA20" i="54"/>
  <c r="AB20" i="54"/>
  <c r="AC20" i="54"/>
  <c r="AE20" i="54"/>
  <c r="AD20" i="54"/>
  <c r="Z20" i="54"/>
  <c r="Z67" i="54"/>
  <c r="AE67" i="54"/>
  <c r="AA67" i="54"/>
  <c r="AD67" i="54"/>
  <c r="AB67" i="54"/>
  <c r="AC67" i="54"/>
  <c r="Z43" i="54"/>
  <c r="AD43" i="54"/>
  <c r="AE43" i="54"/>
  <c r="AA43" i="54"/>
  <c r="AB43" i="54"/>
  <c r="AC43" i="54"/>
  <c r="Z11" i="54"/>
  <c r="AA11" i="54"/>
  <c r="AB11" i="54"/>
  <c r="AC11" i="54"/>
  <c r="AE11" i="54"/>
  <c r="AD11" i="54"/>
  <c r="AB42" i="54"/>
  <c r="AC42" i="54"/>
  <c r="AD42" i="54"/>
  <c r="AE42" i="54"/>
  <c r="Z42" i="54"/>
  <c r="AA42" i="54"/>
  <c r="AE18" i="54"/>
  <c r="AA18" i="54"/>
  <c r="AD18" i="54"/>
  <c r="AC18" i="54"/>
  <c r="Z18" i="54"/>
  <c r="AB18" i="54"/>
  <c r="AD57" i="54"/>
  <c r="AB57" i="54"/>
  <c r="AC57" i="54"/>
  <c r="AE57" i="54"/>
  <c r="AA57" i="54"/>
  <c r="Z57" i="54"/>
  <c r="AB64" i="54"/>
  <c r="AA64" i="54"/>
  <c r="AC64" i="54"/>
  <c r="Z64" i="54"/>
  <c r="AD64" i="54"/>
  <c r="AE64" i="54"/>
  <c r="AB40" i="54"/>
  <c r="Z40" i="54"/>
  <c r="AC40" i="54"/>
  <c r="AD40" i="54"/>
  <c r="AE40" i="54"/>
  <c r="AA40" i="54"/>
  <c r="AB32" i="54"/>
  <c r="AC32" i="54"/>
  <c r="AE32" i="54"/>
  <c r="AA32" i="54"/>
  <c r="AD32" i="54"/>
  <c r="Z32" i="54"/>
  <c r="AA24" i="54"/>
  <c r="AB24" i="54"/>
  <c r="AC24" i="54"/>
  <c r="AE24" i="54"/>
  <c r="Z24" i="54"/>
  <c r="AD24" i="54"/>
  <c r="AA16" i="54"/>
  <c r="AB16" i="54"/>
  <c r="AC16" i="54"/>
  <c r="AE16" i="54"/>
  <c r="Z16" i="54"/>
  <c r="AD16" i="54"/>
  <c r="AD53" i="54"/>
  <c r="AE53" i="54"/>
  <c r="Z53" i="54"/>
  <c r="AA53" i="54"/>
  <c r="AB53" i="54"/>
  <c r="AC53" i="54"/>
  <c r="AC13" i="54"/>
  <c r="AD13" i="54"/>
  <c r="AE13" i="54"/>
  <c r="AB13" i="54"/>
  <c r="Z13" i="54"/>
  <c r="AA13" i="54"/>
  <c r="AB44" i="54"/>
  <c r="AC44" i="54"/>
  <c r="AD44" i="54"/>
  <c r="Z44" i="54"/>
  <c r="AA44" i="54"/>
  <c r="AE44" i="54"/>
  <c r="Z59" i="54"/>
  <c r="AD59" i="54"/>
  <c r="AA59" i="54"/>
  <c r="AB59" i="54"/>
  <c r="AC59" i="54"/>
  <c r="AE59" i="54"/>
  <c r="Z35" i="54"/>
  <c r="AE35" i="54"/>
  <c r="AA35" i="54"/>
  <c r="AB35" i="54"/>
  <c r="AD35" i="54"/>
  <c r="AC35" i="54"/>
  <c r="AE10" i="54"/>
  <c r="Z10" i="54"/>
  <c r="AA10" i="54"/>
  <c r="AB10" i="54"/>
  <c r="AC10" i="54"/>
  <c r="AD10" i="54"/>
  <c r="AB56" i="54"/>
  <c r="AC56" i="54"/>
  <c r="AA56" i="54"/>
  <c r="AD56" i="54"/>
  <c r="AE56" i="54"/>
  <c r="Z56" i="54"/>
  <c r="AC8" i="54"/>
  <c r="AA8" i="54"/>
  <c r="AB8" i="54"/>
  <c r="Z8" i="54"/>
  <c r="AD8" i="54"/>
  <c r="AE8" i="54"/>
  <c r="Z63" i="54"/>
  <c r="AA63" i="54"/>
  <c r="AB63" i="54"/>
  <c r="AD63" i="54"/>
  <c r="AE63" i="54"/>
  <c r="AC63" i="54"/>
  <c r="Z55" i="54"/>
  <c r="AE55" i="54"/>
  <c r="AA55" i="54"/>
  <c r="AB55" i="54"/>
  <c r="AC55" i="54"/>
  <c r="AD55" i="54"/>
  <c r="Z47" i="54"/>
  <c r="AA47" i="54"/>
  <c r="AD47" i="54"/>
  <c r="AE47" i="54"/>
  <c r="AB47" i="54"/>
  <c r="AC47" i="54"/>
  <c r="Z39" i="54"/>
  <c r="AD39" i="54"/>
  <c r="AA39" i="54"/>
  <c r="AB39" i="54"/>
  <c r="AC39" i="54"/>
  <c r="AE39" i="54"/>
  <c r="Z31" i="54"/>
  <c r="AA31" i="54"/>
  <c r="AC31" i="54"/>
  <c r="AB31" i="54"/>
  <c r="AD31" i="54"/>
  <c r="AE31" i="54"/>
  <c r="Z23" i="54"/>
  <c r="AA23" i="54"/>
  <c r="AC23" i="54"/>
  <c r="AD23" i="54"/>
  <c r="AE23" i="54"/>
  <c r="AB23" i="54"/>
  <c r="Z15" i="54"/>
  <c r="AA15" i="54"/>
  <c r="AC15" i="54"/>
  <c r="AD15" i="54"/>
  <c r="AE15" i="54"/>
  <c r="AB15" i="54"/>
  <c r="AD61" i="54"/>
  <c r="AA61" i="54"/>
  <c r="AE61" i="54"/>
  <c r="AC61" i="54"/>
  <c r="AB61" i="54"/>
  <c r="Z61" i="54"/>
  <c r="AD29" i="54"/>
  <c r="AE29" i="54"/>
  <c r="AA29" i="54"/>
  <c r="Z29" i="54"/>
  <c r="AB29" i="54"/>
  <c r="AC29" i="54"/>
  <c r="AB60" i="54"/>
  <c r="AC60" i="54"/>
  <c r="AD60" i="54"/>
  <c r="AA60" i="54"/>
  <c r="AE60" i="54"/>
  <c r="Z60" i="54"/>
  <c r="AA12" i="54"/>
  <c r="AB12" i="54"/>
  <c r="AC12" i="54"/>
  <c r="AD12" i="54"/>
  <c r="AE12" i="54"/>
  <c r="Z12" i="54"/>
  <c r="Z51" i="54"/>
  <c r="AA51" i="54"/>
  <c r="AB51" i="54"/>
  <c r="AD51" i="54"/>
  <c r="AE51" i="54"/>
  <c r="AC51" i="54"/>
  <c r="Z19" i="54"/>
  <c r="AA19" i="54"/>
  <c r="AC19" i="54"/>
  <c r="AB19" i="54"/>
  <c r="AD19" i="54"/>
  <c r="AE19" i="54"/>
  <c r="AB50" i="54"/>
  <c r="Z50" i="54"/>
  <c r="AA50" i="54"/>
  <c r="AC50" i="54"/>
  <c r="AE50" i="54"/>
  <c r="AD50" i="54"/>
  <c r="AE26" i="54"/>
  <c r="AA26" i="54"/>
  <c r="AD26" i="54"/>
  <c r="Z26" i="54"/>
  <c r="AC26" i="54"/>
  <c r="AB26" i="54"/>
  <c r="AD49" i="54"/>
  <c r="AA49" i="54"/>
  <c r="AE49" i="54"/>
  <c r="AC49" i="54"/>
  <c r="AB49" i="54"/>
  <c r="Z49" i="54"/>
  <c r="AB48" i="54"/>
  <c r="AC48" i="54"/>
  <c r="Z48" i="54"/>
  <c r="AD48" i="54"/>
  <c r="AA48" i="54"/>
  <c r="AE48" i="54"/>
  <c r="AB70" i="54"/>
  <c r="AD70" i="54"/>
  <c r="AC70" i="54"/>
  <c r="AA70" i="54"/>
  <c r="AE70" i="54"/>
  <c r="AD62" i="54"/>
  <c r="AB62" i="54"/>
  <c r="AC62" i="54"/>
  <c r="Z62" i="54"/>
  <c r="AA62" i="54"/>
  <c r="AE62" i="54"/>
  <c r="AB54" i="54"/>
  <c r="Z54" i="54"/>
  <c r="AD54" i="54"/>
  <c r="AA54" i="54"/>
  <c r="AC54" i="54"/>
  <c r="AE54" i="54"/>
  <c r="AE46" i="54"/>
  <c r="Z46" i="54"/>
  <c r="AB46" i="54"/>
  <c r="AC46" i="54"/>
  <c r="AA46" i="54"/>
  <c r="AD46" i="54"/>
  <c r="Z38" i="54"/>
  <c r="AC38" i="54"/>
  <c r="AE38" i="54"/>
  <c r="AA38" i="54"/>
  <c r="AB38" i="54"/>
  <c r="AD38" i="54"/>
  <c r="AA30" i="54"/>
  <c r="AC30" i="54"/>
  <c r="AD30" i="54"/>
  <c r="AE30" i="54"/>
  <c r="AB30" i="54"/>
  <c r="Z30" i="54"/>
  <c r="AE22" i="54"/>
  <c r="AA22" i="54"/>
  <c r="Z22" i="54"/>
  <c r="AD22" i="54"/>
  <c r="AB22" i="54"/>
  <c r="AC22" i="54"/>
  <c r="AE14" i="54"/>
  <c r="AA14" i="54"/>
  <c r="Z14" i="54"/>
  <c r="AD14" i="54"/>
  <c r="AB14" i="54"/>
  <c r="AC14" i="54"/>
  <c r="V220" i="49"/>
  <c r="I220" i="49"/>
  <c r="T220" i="49"/>
  <c r="X220" i="49"/>
  <c r="Q220" i="49"/>
  <c r="S220" i="49"/>
  <c r="R220" i="49"/>
  <c r="P220" i="49"/>
  <c r="O220" i="49"/>
  <c r="J220" i="49"/>
  <c r="M220" i="49"/>
  <c r="P222" i="54"/>
  <c r="N222" i="54"/>
  <c r="M222" i="54"/>
  <c r="D17" i="11"/>
  <c r="D29" i="11" s="1"/>
  <c r="D35" i="11" s="1"/>
  <c r="Q222" i="54"/>
  <c r="O222" i="54"/>
  <c r="J220" i="54"/>
  <c r="I220" i="54"/>
  <c r="K220" i="54"/>
  <c r="H220" i="54"/>
  <c r="AO222" i="54"/>
  <c r="AN222" i="54"/>
  <c r="AM222" i="54"/>
  <c r="AL222" i="54"/>
  <c r="AK222" i="54"/>
  <c r="AJ222" i="54"/>
  <c r="AI222" i="54"/>
  <c r="AS222" i="54"/>
  <c r="AP222" i="54"/>
  <c r="AF51" i="54" l="1"/>
  <c r="AF62" i="54"/>
  <c r="AF11" i="54"/>
  <c r="AF58" i="54"/>
  <c r="AF28" i="54"/>
  <c r="AF35" i="54"/>
  <c r="AF42" i="54"/>
  <c r="AF26" i="54"/>
  <c r="AF38" i="54"/>
  <c r="AF10" i="54"/>
  <c r="AF27" i="54"/>
  <c r="AF37" i="54"/>
  <c r="AF30" i="54"/>
  <c r="AF46" i="54"/>
  <c r="AF19" i="54"/>
  <c r="AF20" i="54"/>
  <c r="AF17" i="54"/>
  <c r="AF22" i="54"/>
  <c r="AF29" i="54"/>
  <c r="AF8" i="54"/>
  <c r="AF54" i="54"/>
  <c r="AF50" i="54"/>
  <c r="AF67" i="54"/>
  <c r="AF14" i="54"/>
  <c r="AF70" i="54"/>
  <c r="AF72" i="54" s="1"/>
  <c r="AF64" i="54"/>
  <c r="AF34" i="54"/>
  <c r="AF59" i="54"/>
  <c r="AF18" i="54"/>
  <c r="AG18" i="54" s="1"/>
  <c r="AH18" i="54" s="1"/>
  <c r="AF43" i="54"/>
  <c r="AF32" i="54"/>
  <c r="AF36" i="54"/>
  <c r="AF12" i="54"/>
  <c r="AF15" i="54"/>
  <c r="AF47" i="54"/>
  <c r="AF44" i="54"/>
  <c r="AF16" i="54"/>
  <c r="AF21" i="54"/>
  <c r="AF52" i="54"/>
  <c r="AF23" i="54"/>
  <c r="AF41" i="54"/>
  <c r="AF39" i="54"/>
  <c r="AF13" i="54"/>
  <c r="AF57" i="54"/>
  <c r="AF61" i="54"/>
  <c r="AF9" i="54"/>
  <c r="AF66" i="54"/>
  <c r="AF49" i="54"/>
  <c r="AF60" i="54"/>
  <c r="AF53" i="54"/>
  <c r="AF40" i="54"/>
  <c r="AG40" i="54" s="1"/>
  <c r="AH40" i="54" s="1"/>
  <c r="AF25" i="54"/>
  <c r="AF65" i="54"/>
  <c r="AF69" i="54"/>
  <c r="AF68" i="54"/>
  <c r="AF55" i="54"/>
  <c r="AF56" i="54"/>
  <c r="AF33" i="54"/>
  <c r="AF48" i="54"/>
  <c r="AF31" i="54"/>
  <c r="AF63" i="54"/>
  <c r="AF24" i="54"/>
  <c r="AF45" i="54"/>
  <c r="AG90" i="54"/>
  <c r="AH90" i="54" s="1"/>
  <c r="AG83" i="54"/>
  <c r="AH83" i="54" s="1"/>
  <c r="E71" i="11"/>
  <c r="F71" i="11"/>
  <c r="F103" i="11" s="1"/>
  <c r="I222" i="54"/>
  <c r="H222" i="54"/>
  <c r="J222" i="54"/>
  <c r="S220" i="54"/>
  <c r="S222" i="54" s="1"/>
  <c r="K222" i="54"/>
  <c r="AU222" i="54"/>
  <c r="AT222" i="54"/>
  <c r="AV222" i="54"/>
  <c r="AW222" i="54"/>
  <c r="AX222" i="54"/>
  <c r="AY222" i="54"/>
  <c r="AR222" i="54"/>
  <c r="AZ222" i="54"/>
  <c r="BA222" i="54"/>
  <c r="AX217" i="49"/>
  <c r="AW217" i="49"/>
  <c r="AV217" i="49"/>
  <c r="AU217" i="49"/>
  <c r="AT217" i="49"/>
  <c r="AS217" i="49"/>
  <c r="AR217" i="49"/>
  <c r="AQ217" i="49"/>
  <c r="AP217" i="49"/>
  <c r="AN217" i="49"/>
  <c r="AX216" i="49"/>
  <c r="AW216" i="49"/>
  <c r="AV216" i="49"/>
  <c r="AU216" i="49"/>
  <c r="AT216" i="49"/>
  <c r="AS216" i="49"/>
  <c r="AR216" i="49"/>
  <c r="AQ216" i="49"/>
  <c r="AP216" i="49"/>
  <c r="AN216" i="49"/>
  <c r="AX215" i="49"/>
  <c r="AW215" i="49"/>
  <c r="AV215" i="49"/>
  <c r="AU215" i="49"/>
  <c r="AT215" i="49"/>
  <c r="AS215" i="49"/>
  <c r="AR215" i="49"/>
  <c r="AQ215" i="49"/>
  <c r="AP215" i="49"/>
  <c r="AN215" i="49"/>
  <c r="AX214" i="49"/>
  <c r="AW214" i="49"/>
  <c r="AV214" i="49"/>
  <c r="AU214" i="49"/>
  <c r="AT214" i="49"/>
  <c r="AS214" i="49"/>
  <c r="AR214" i="49"/>
  <c r="AQ214" i="49"/>
  <c r="AP214" i="49"/>
  <c r="AY214" i="49" s="1"/>
  <c r="AN214" i="49"/>
  <c r="AX213" i="49"/>
  <c r="AW213" i="49"/>
  <c r="AV213" i="49"/>
  <c r="AU213" i="49"/>
  <c r="AT213" i="49"/>
  <c r="AS213" i="49"/>
  <c r="AR213" i="49"/>
  <c r="AQ213" i="49"/>
  <c r="AP213" i="49"/>
  <c r="AN213" i="49"/>
  <c r="AX212" i="49"/>
  <c r="AW212" i="49"/>
  <c r="AV212" i="49"/>
  <c r="AU212" i="49"/>
  <c r="AT212" i="49"/>
  <c r="AS212" i="49"/>
  <c r="AR212" i="49"/>
  <c r="AQ212" i="49"/>
  <c r="AP212" i="49"/>
  <c r="AN212" i="49"/>
  <c r="AX211" i="49"/>
  <c r="AW211" i="49"/>
  <c r="AV211" i="49"/>
  <c r="AU211" i="49"/>
  <c r="AT211" i="49"/>
  <c r="AS211" i="49"/>
  <c r="AR211" i="49"/>
  <c r="AQ211" i="49"/>
  <c r="AP211" i="49"/>
  <c r="AN211" i="49"/>
  <c r="AX210" i="49"/>
  <c r="AW210" i="49"/>
  <c r="AV210" i="49"/>
  <c r="AU210" i="49"/>
  <c r="AT210" i="49"/>
  <c r="AS210" i="49"/>
  <c r="AR210" i="49"/>
  <c r="AQ210" i="49"/>
  <c r="AP210" i="49"/>
  <c r="AY210" i="49" s="1"/>
  <c r="AN210" i="49"/>
  <c r="AX209" i="49"/>
  <c r="AW209" i="49"/>
  <c r="AV209" i="49"/>
  <c r="AU209" i="49"/>
  <c r="AT209" i="49"/>
  <c r="AS209" i="49"/>
  <c r="AR209" i="49"/>
  <c r="AQ209" i="49"/>
  <c r="AP209" i="49"/>
  <c r="AN209" i="49"/>
  <c r="AX208" i="49"/>
  <c r="AW208" i="49"/>
  <c r="AV208" i="49"/>
  <c r="AU208" i="49"/>
  <c r="AT208" i="49"/>
  <c r="AS208" i="49"/>
  <c r="AR208" i="49"/>
  <c r="AQ208" i="49"/>
  <c r="AP208" i="49"/>
  <c r="AN208" i="49"/>
  <c r="AX207" i="49"/>
  <c r="AW207" i="49"/>
  <c r="AV207" i="49"/>
  <c r="AU207" i="49"/>
  <c r="AT207" i="49"/>
  <c r="AS207" i="49"/>
  <c r="AR207" i="49"/>
  <c r="AQ207" i="49"/>
  <c r="AP207" i="49"/>
  <c r="AN207" i="49"/>
  <c r="AX206" i="49"/>
  <c r="AW206" i="49"/>
  <c r="AV206" i="49"/>
  <c r="AU206" i="49"/>
  <c r="AT206" i="49"/>
  <c r="AS206" i="49"/>
  <c r="AR206" i="49"/>
  <c r="AQ206" i="49"/>
  <c r="AP206" i="49"/>
  <c r="AY206" i="49" s="1"/>
  <c r="AN206" i="49"/>
  <c r="AX205" i="49"/>
  <c r="AW205" i="49"/>
  <c r="AV205" i="49"/>
  <c r="AU205" i="49"/>
  <c r="AT205" i="49"/>
  <c r="AS205" i="49"/>
  <c r="AR205" i="49"/>
  <c r="AQ205" i="49"/>
  <c r="AP205" i="49"/>
  <c r="AN205" i="49"/>
  <c r="AX204" i="49"/>
  <c r="AW204" i="49"/>
  <c r="AV204" i="49"/>
  <c r="AU204" i="49"/>
  <c r="AT204" i="49"/>
  <c r="AS204" i="49"/>
  <c r="AR204" i="49"/>
  <c r="AQ204" i="49"/>
  <c r="AP204" i="49"/>
  <c r="AN204" i="49"/>
  <c r="AX203" i="49"/>
  <c r="AW203" i="49"/>
  <c r="AV203" i="49"/>
  <c r="AU203" i="49"/>
  <c r="AT203" i="49"/>
  <c r="AS203" i="49"/>
  <c r="AR203" i="49"/>
  <c r="AQ203" i="49"/>
  <c r="AP203" i="49"/>
  <c r="AN203" i="49"/>
  <c r="AX202" i="49"/>
  <c r="AW202" i="49"/>
  <c r="AV202" i="49"/>
  <c r="AU202" i="49"/>
  <c r="AT202" i="49"/>
  <c r="AS202" i="49"/>
  <c r="AR202" i="49"/>
  <c r="AQ202" i="49"/>
  <c r="AP202" i="49"/>
  <c r="AY202" i="49" s="1"/>
  <c r="AN202" i="49"/>
  <c r="AX201" i="49"/>
  <c r="AW201" i="49"/>
  <c r="AV201" i="49"/>
  <c r="AU201" i="49"/>
  <c r="AT201" i="49"/>
  <c r="AS201" i="49"/>
  <c r="AR201" i="49"/>
  <c r="AQ201" i="49"/>
  <c r="AP201" i="49"/>
  <c r="AN201" i="49"/>
  <c r="AX200" i="49"/>
  <c r="AW200" i="49"/>
  <c r="AV200" i="49"/>
  <c r="AU200" i="49"/>
  <c r="AT200" i="49"/>
  <c r="AS200" i="49"/>
  <c r="AR200" i="49"/>
  <c r="AQ200" i="49"/>
  <c r="AP200" i="49"/>
  <c r="AN200" i="49"/>
  <c r="AX199" i="49"/>
  <c r="AW199" i="49"/>
  <c r="AV199" i="49"/>
  <c r="AU199" i="49"/>
  <c r="AT199" i="49"/>
  <c r="AS199" i="49"/>
  <c r="AR199" i="49"/>
  <c r="AQ199" i="49"/>
  <c r="AP199" i="49"/>
  <c r="AN199" i="49"/>
  <c r="AX198" i="49"/>
  <c r="AW198" i="49"/>
  <c r="AV198" i="49"/>
  <c r="AU198" i="49"/>
  <c r="AT198" i="49"/>
  <c r="AS198" i="49"/>
  <c r="AR198" i="49"/>
  <c r="AQ198" i="49"/>
  <c r="AP198" i="49"/>
  <c r="AY198" i="49" s="1"/>
  <c r="AN198" i="49"/>
  <c r="AX197" i="49"/>
  <c r="AW197" i="49"/>
  <c r="AV197" i="49"/>
  <c r="AU197" i="49"/>
  <c r="AT197" i="49"/>
  <c r="AS197" i="49"/>
  <c r="AR197" i="49"/>
  <c r="AQ197" i="49"/>
  <c r="AP197" i="49"/>
  <c r="AN197" i="49"/>
  <c r="AX196" i="49"/>
  <c r="AW196" i="49"/>
  <c r="AV196" i="49"/>
  <c r="AU196" i="49"/>
  <c r="AT196" i="49"/>
  <c r="AS196" i="49"/>
  <c r="AR196" i="49"/>
  <c r="AQ196" i="49"/>
  <c r="AP196" i="49"/>
  <c r="AN196" i="49"/>
  <c r="AX195" i="49"/>
  <c r="AW195" i="49"/>
  <c r="AV195" i="49"/>
  <c r="AU195" i="49"/>
  <c r="AT195" i="49"/>
  <c r="AS195" i="49"/>
  <c r="AR195" i="49"/>
  <c r="AQ195" i="49"/>
  <c r="AP195" i="49"/>
  <c r="AN195" i="49"/>
  <c r="AX194" i="49"/>
  <c r="AW194" i="49"/>
  <c r="AV194" i="49"/>
  <c r="AU194" i="49"/>
  <c r="AT194" i="49"/>
  <c r="AS194" i="49"/>
  <c r="AR194" i="49"/>
  <c r="AQ194" i="49"/>
  <c r="AP194" i="49"/>
  <c r="AY194" i="49" s="1"/>
  <c r="AN194" i="49"/>
  <c r="AX193" i="49"/>
  <c r="AW193" i="49"/>
  <c r="AV193" i="49"/>
  <c r="AU193" i="49"/>
  <c r="AT193" i="49"/>
  <c r="AS193" i="49"/>
  <c r="AR193" i="49"/>
  <c r="AQ193" i="49"/>
  <c r="AP193" i="49"/>
  <c r="AN193" i="49"/>
  <c r="AX192" i="49"/>
  <c r="AW192" i="49"/>
  <c r="AV192" i="49"/>
  <c r="AU192" i="49"/>
  <c r="AT192" i="49"/>
  <c r="AS192" i="49"/>
  <c r="AR192" i="49"/>
  <c r="AQ192" i="49"/>
  <c r="AP192" i="49"/>
  <c r="AN192" i="49"/>
  <c r="AX191" i="49"/>
  <c r="AW191" i="49"/>
  <c r="AV191" i="49"/>
  <c r="AU191" i="49"/>
  <c r="AT191" i="49"/>
  <c r="AS191" i="49"/>
  <c r="AR191" i="49"/>
  <c r="AQ191" i="49"/>
  <c r="AP191" i="49"/>
  <c r="AN191" i="49"/>
  <c r="AX190" i="49"/>
  <c r="AW190" i="49"/>
  <c r="AV190" i="49"/>
  <c r="AU190" i="49"/>
  <c r="AT190" i="49"/>
  <c r="AS190" i="49"/>
  <c r="AR190" i="49"/>
  <c r="AQ190" i="49"/>
  <c r="AP190" i="49"/>
  <c r="AY190" i="49" s="1"/>
  <c r="AN190" i="49"/>
  <c r="AX189" i="49"/>
  <c r="AW189" i="49"/>
  <c r="AV189" i="49"/>
  <c r="AU189" i="49"/>
  <c r="AT189" i="49"/>
  <c r="AS189" i="49"/>
  <c r="AR189" i="49"/>
  <c r="AQ189" i="49"/>
  <c r="AP189" i="49"/>
  <c r="AN189" i="49"/>
  <c r="AX188" i="49"/>
  <c r="AW188" i="49"/>
  <c r="AV188" i="49"/>
  <c r="AU188" i="49"/>
  <c r="AT188" i="49"/>
  <c r="AS188" i="49"/>
  <c r="AR188" i="49"/>
  <c r="AQ188" i="49"/>
  <c r="AP188" i="49"/>
  <c r="AN188" i="49"/>
  <c r="AX187" i="49"/>
  <c r="AW187" i="49"/>
  <c r="AV187" i="49"/>
  <c r="AU187" i="49"/>
  <c r="AT187" i="49"/>
  <c r="AS187" i="49"/>
  <c r="AR187" i="49"/>
  <c r="AQ187" i="49"/>
  <c r="AP187" i="49"/>
  <c r="AN187" i="49"/>
  <c r="AX186" i="49"/>
  <c r="AW186" i="49"/>
  <c r="AV186" i="49"/>
  <c r="AU186" i="49"/>
  <c r="AT186" i="49"/>
  <c r="AS186" i="49"/>
  <c r="AR186" i="49"/>
  <c r="AQ186" i="49"/>
  <c r="AP186" i="49"/>
  <c r="AY186" i="49" s="1"/>
  <c r="AN186" i="49"/>
  <c r="AX185" i="49"/>
  <c r="AW185" i="49"/>
  <c r="AV185" i="49"/>
  <c r="AU185" i="49"/>
  <c r="AT185" i="49"/>
  <c r="AS185" i="49"/>
  <c r="AR185" i="49"/>
  <c r="AQ185" i="49"/>
  <c r="AP185" i="49"/>
  <c r="AN185" i="49"/>
  <c r="AX184" i="49"/>
  <c r="AW184" i="49"/>
  <c r="AV184" i="49"/>
  <c r="AU184" i="49"/>
  <c r="AT184" i="49"/>
  <c r="AS184" i="49"/>
  <c r="AR184" i="49"/>
  <c r="AQ184" i="49"/>
  <c r="AP184" i="49"/>
  <c r="AN184" i="49"/>
  <c r="AX183" i="49"/>
  <c r="AW183" i="49"/>
  <c r="AV183" i="49"/>
  <c r="AU183" i="49"/>
  <c r="AT183" i="49"/>
  <c r="AS183" i="49"/>
  <c r="AR183" i="49"/>
  <c r="AQ183" i="49"/>
  <c r="AP183" i="49"/>
  <c r="AN183" i="49"/>
  <c r="AX182" i="49"/>
  <c r="AW182" i="49"/>
  <c r="AV182" i="49"/>
  <c r="AU182" i="49"/>
  <c r="AT182" i="49"/>
  <c r="AS182" i="49"/>
  <c r="AR182" i="49"/>
  <c r="AQ182" i="49"/>
  <c r="AP182" i="49"/>
  <c r="AY182" i="49" s="1"/>
  <c r="AN182" i="49"/>
  <c r="AX181" i="49"/>
  <c r="AW181" i="49"/>
  <c r="AV181" i="49"/>
  <c r="AU181" i="49"/>
  <c r="AT181" i="49"/>
  <c r="AS181" i="49"/>
  <c r="AR181" i="49"/>
  <c r="AQ181" i="49"/>
  <c r="AP181" i="49"/>
  <c r="AN181" i="49"/>
  <c r="AX180" i="49"/>
  <c r="AW180" i="49"/>
  <c r="AV180" i="49"/>
  <c r="AU180" i="49"/>
  <c r="AT180" i="49"/>
  <c r="AS180" i="49"/>
  <c r="AR180" i="49"/>
  <c r="AQ180" i="49"/>
  <c r="AP180" i="49"/>
  <c r="AN180" i="49"/>
  <c r="AX179" i="49"/>
  <c r="AW179" i="49"/>
  <c r="AV179" i="49"/>
  <c r="AU179" i="49"/>
  <c r="AT179" i="49"/>
  <c r="AS179" i="49"/>
  <c r="AR179" i="49"/>
  <c r="AQ179" i="49"/>
  <c r="AP179" i="49"/>
  <c r="AN179" i="49"/>
  <c r="AX178" i="49"/>
  <c r="AW178" i="49"/>
  <c r="AV178" i="49"/>
  <c r="AU178" i="49"/>
  <c r="AT178" i="49"/>
  <c r="AS178" i="49"/>
  <c r="AR178" i="49"/>
  <c r="AQ178" i="49"/>
  <c r="AP178" i="49"/>
  <c r="AY178" i="49" s="1"/>
  <c r="AN178" i="49"/>
  <c r="AX177" i="49"/>
  <c r="AW177" i="49"/>
  <c r="AV177" i="49"/>
  <c r="AU177" i="49"/>
  <c r="AT177" i="49"/>
  <c r="AS177" i="49"/>
  <c r="AR177" i="49"/>
  <c r="AQ177" i="49"/>
  <c r="AP177" i="49"/>
  <c r="AN177" i="49"/>
  <c r="AX176" i="49"/>
  <c r="AW176" i="49"/>
  <c r="AV176" i="49"/>
  <c r="AU176" i="49"/>
  <c r="AT176" i="49"/>
  <c r="AS176" i="49"/>
  <c r="AR176" i="49"/>
  <c r="AQ176" i="49"/>
  <c r="AP176" i="49"/>
  <c r="AN176" i="49"/>
  <c r="AX175" i="49"/>
  <c r="AW175" i="49"/>
  <c r="AV175" i="49"/>
  <c r="AU175" i="49"/>
  <c r="AT175" i="49"/>
  <c r="AS175" i="49"/>
  <c r="AR175" i="49"/>
  <c r="AQ175" i="49"/>
  <c r="AP175" i="49"/>
  <c r="AN175" i="49"/>
  <c r="AX174" i="49"/>
  <c r="AW174" i="49"/>
  <c r="AV174" i="49"/>
  <c r="AU174" i="49"/>
  <c r="AT174" i="49"/>
  <c r="AS174" i="49"/>
  <c r="AR174" i="49"/>
  <c r="AQ174" i="49"/>
  <c r="AP174" i="49"/>
  <c r="AY174" i="49" s="1"/>
  <c r="AN174" i="49"/>
  <c r="AX173" i="49"/>
  <c r="AW173" i="49"/>
  <c r="AV173" i="49"/>
  <c r="AU173" i="49"/>
  <c r="AT173" i="49"/>
  <c r="AS173" i="49"/>
  <c r="AR173" i="49"/>
  <c r="AQ173" i="49"/>
  <c r="AP173" i="49"/>
  <c r="AN173" i="49"/>
  <c r="AX172" i="49"/>
  <c r="AW172" i="49"/>
  <c r="AV172" i="49"/>
  <c r="AU172" i="49"/>
  <c r="AT172" i="49"/>
  <c r="AS172" i="49"/>
  <c r="AR172" i="49"/>
  <c r="AQ172" i="49"/>
  <c r="AP172" i="49"/>
  <c r="AN172" i="49"/>
  <c r="AX171" i="49"/>
  <c r="AW171" i="49"/>
  <c r="AV171" i="49"/>
  <c r="AU171" i="49"/>
  <c r="AT171" i="49"/>
  <c r="AS171" i="49"/>
  <c r="AR171" i="49"/>
  <c r="AQ171" i="49"/>
  <c r="AP171" i="49"/>
  <c r="AN171" i="49"/>
  <c r="AX170" i="49"/>
  <c r="AW170" i="49"/>
  <c r="AV170" i="49"/>
  <c r="AU170" i="49"/>
  <c r="AT170" i="49"/>
  <c r="AS170" i="49"/>
  <c r="AR170" i="49"/>
  <c r="AQ170" i="49"/>
  <c r="AP170" i="49"/>
  <c r="AY170" i="49" s="1"/>
  <c r="AN170" i="49"/>
  <c r="AX169" i="49"/>
  <c r="AW169" i="49"/>
  <c r="AV169" i="49"/>
  <c r="AU169" i="49"/>
  <c r="AT169" i="49"/>
  <c r="AS169" i="49"/>
  <c r="AR169" i="49"/>
  <c r="AQ169" i="49"/>
  <c r="AP169" i="49"/>
  <c r="AN169" i="49"/>
  <c r="AX168" i="49"/>
  <c r="AW168" i="49"/>
  <c r="AV168" i="49"/>
  <c r="AU168" i="49"/>
  <c r="AT168" i="49"/>
  <c r="AS168" i="49"/>
  <c r="AR168" i="49"/>
  <c r="AQ168" i="49"/>
  <c r="AP168" i="49"/>
  <c r="AN168" i="49"/>
  <c r="AX167" i="49"/>
  <c r="AW167" i="49"/>
  <c r="AV167" i="49"/>
  <c r="AU167" i="49"/>
  <c r="AT167" i="49"/>
  <c r="AS167" i="49"/>
  <c r="AR167" i="49"/>
  <c r="AQ167" i="49"/>
  <c r="AP167" i="49"/>
  <c r="AN167" i="49"/>
  <c r="AX166" i="49"/>
  <c r="AW166" i="49"/>
  <c r="AV166" i="49"/>
  <c r="AU166" i="49"/>
  <c r="AT166" i="49"/>
  <c r="AS166" i="49"/>
  <c r="AR166" i="49"/>
  <c r="AQ166" i="49"/>
  <c r="AP166" i="49"/>
  <c r="AY166" i="49" s="1"/>
  <c r="AN166" i="49"/>
  <c r="AX165" i="49"/>
  <c r="AW165" i="49"/>
  <c r="AV165" i="49"/>
  <c r="AU165" i="49"/>
  <c r="AT165" i="49"/>
  <c r="AS165" i="49"/>
  <c r="AR165" i="49"/>
  <c r="AQ165" i="49"/>
  <c r="AP165" i="49"/>
  <c r="AN165" i="49"/>
  <c r="AX164" i="49"/>
  <c r="AW164" i="49"/>
  <c r="AV164" i="49"/>
  <c r="AU164" i="49"/>
  <c r="AT164" i="49"/>
  <c r="AS164" i="49"/>
  <c r="AR164" i="49"/>
  <c r="AQ164" i="49"/>
  <c r="AP164" i="49"/>
  <c r="AN164" i="49"/>
  <c r="AX163" i="49"/>
  <c r="AW163" i="49"/>
  <c r="AV163" i="49"/>
  <c r="AU163" i="49"/>
  <c r="AT163" i="49"/>
  <c r="AS163" i="49"/>
  <c r="AR163" i="49"/>
  <c r="AQ163" i="49"/>
  <c r="AP163" i="49"/>
  <c r="AN163" i="49"/>
  <c r="AX162" i="49"/>
  <c r="AW162" i="49"/>
  <c r="AV162" i="49"/>
  <c r="AU162" i="49"/>
  <c r="AT162" i="49"/>
  <c r="AS162" i="49"/>
  <c r="AR162" i="49"/>
  <c r="AQ162" i="49"/>
  <c r="AP162" i="49"/>
  <c r="AY162" i="49" s="1"/>
  <c r="AN162" i="49"/>
  <c r="AX161" i="49"/>
  <c r="AW161" i="49"/>
  <c r="AV161" i="49"/>
  <c r="AU161" i="49"/>
  <c r="AT161" i="49"/>
  <c r="AS161" i="49"/>
  <c r="AR161" i="49"/>
  <c r="AQ161" i="49"/>
  <c r="AP161" i="49"/>
  <c r="AN161" i="49"/>
  <c r="AX160" i="49"/>
  <c r="AW160" i="49"/>
  <c r="AV160" i="49"/>
  <c r="AU160" i="49"/>
  <c r="AT160" i="49"/>
  <c r="AS160" i="49"/>
  <c r="AR160" i="49"/>
  <c r="AQ160" i="49"/>
  <c r="AP160" i="49"/>
  <c r="AN160" i="49"/>
  <c r="AX159" i="49"/>
  <c r="AW159" i="49"/>
  <c r="AV159" i="49"/>
  <c r="AU159" i="49"/>
  <c r="AT159" i="49"/>
  <c r="AS159" i="49"/>
  <c r="AR159" i="49"/>
  <c r="AQ159" i="49"/>
  <c r="AP159" i="49"/>
  <c r="AN159" i="49"/>
  <c r="AX158" i="49"/>
  <c r="AW158" i="49"/>
  <c r="AV158" i="49"/>
  <c r="AU158" i="49"/>
  <c r="AT158" i="49"/>
  <c r="AS158" i="49"/>
  <c r="AR158" i="49"/>
  <c r="AQ158" i="49"/>
  <c r="AP158" i="49"/>
  <c r="AY158" i="49" s="1"/>
  <c r="AN158" i="49"/>
  <c r="AX157" i="49"/>
  <c r="AW157" i="49"/>
  <c r="AV157" i="49"/>
  <c r="AU157" i="49"/>
  <c r="AT157" i="49"/>
  <c r="AS157" i="49"/>
  <c r="AR157" i="49"/>
  <c r="AQ157" i="49"/>
  <c r="AP157" i="49"/>
  <c r="AN157" i="49"/>
  <c r="AX156" i="49"/>
  <c r="AW156" i="49"/>
  <c r="AV156" i="49"/>
  <c r="AU156" i="49"/>
  <c r="AT156" i="49"/>
  <c r="AS156" i="49"/>
  <c r="AR156" i="49"/>
  <c r="AQ156" i="49"/>
  <c r="AP156" i="49"/>
  <c r="AN156" i="49"/>
  <c r="AX155" i="49"/>
  <c r="AW155" i="49"/>
  <c r="AV155" i="49"/>
  <c r="AU155" i="49"/>
  <c r="AT155" i="49"/>
  <c r="AS155" i="49"/>
  <c r="AR155" i="49"/>
  <c r="AQ155" i="49"/>
  <c r="AP155" i="49"/>
  <c r="AN155" i="49"/>
  <c r="AX154" i="49"/>
  <c r="AW154" i="49"/>
  <c r="AV154" i="49"/>
  <c r="AU154" i="49"/>
  <c r="AT154" i="49"/>
  <c r="AS154" i="49"/>
  <c r="AR154" i="49"/>
  <c r="AQ154" i="49"/>
  <c r="AP154" i="49"/>
  <c r="AN154" i="49"/>
  <c r="AX153" i="49"/>
  <c r="AW153" i="49"/>
  <c r="AV153" i="49"/>
  <c r="AU153" i="49"/>
  <c r="AT153" i="49"/>
  <c r="AS153" i="49"/>
  <c r="AR153" i="49"/>
  <c r="AQ153" i="49"/>
  <c r="AP153" i="49"/>
  <c r="AN153" i="49"/>
  <c r="AX152" i="49"/>
  <c r="AW152" i="49"/>
  <c r="AV152" i="49"/>
  <c r="AU152" i="49"/>
  <c r="AT152" i="49"/>
  <c r="AS152" i="49"/>
  <c r="AR152" i="49"/>
  <c r="AQ152" i="49"/>
  <c r="AP152" i="49"/>
  <c r="AN152" i="49"/>
  <c r="AX151" i="49"/>
  <c r="AW151" i="49"/>
  <c r="AV151" i="49"/>
  <c r="AU151" i="49"/>
  <c r="AT151" i="49"/>
  <c r="AS151" i="49"/>
  <c r="AR151" i="49"/>
  <c r="AQ151" i="49"/>
  <c r="AP151" i="49"/>
  <c r="AN151" i="49"/>
  <c r="AX150" i="49"/>
  <c r="AW150" i="49"/>
  <c r="AV150" i="49"/>
  <c r="AU150" i="49"/>
  <c r="AT150" i="49"/>
  <c r="AS150" i="49"/>
  <c r="AR150" i="49"/>
  <c r="AQ150" i="49"/>
  <c r="AP150" i="49"/>
  <c r="AY150" i="49" s="1"/>
  <c r="AN150" i="49"/>
  <c r="AX149" i="49"/>
  <c r="AW149" i="49"/>
  <c r="AV149" i="49"/>
  <c r="AU149" i="49"/>
  <c r="AT149" i="49"/>
  <c r="AS149" i="49"/>
  <c r="AR149" i="49"/>
  <c r="AQ149" i="49"/>
  <c r="AP149" i="49"/>
  <c r="AN149" i="49"/>
  <c r="AX148" i="49"/>
  <c r="AW148" i="49"/>
  <c r="AV148" i="49"/>
  <c r="AU148" i="49"/>
  <c r="AT148" i="49"/>
  <c r="AS148" i="49"/>
  <c r="AR148" i="49"/>
  <c r="AQ148" i="49"/>
  <c r="AP148" i="49"/>
  <c r="AN148" i="49"/>
  <c r="AX147" i="49"/>
  <c r="AW147" i="49"/>
  <c r="AV147" i="49"/>
  <c r="AU147" i="49"/>
  <c r="AT147" i="49"/>
  <c r="AS147" i="49"/>
  <c r="AR147" i="49"/>
  <c r="AQ147" i="49"/>
  <c r="AP147" i="49"/>
  <c r="AN147" i="49"/>
  <c r="AX146" i="49"/>
  <c r="AW146" i="49"/>
  <c r="AV146" i="49"/>
  <c r="AU146" i="49"/>
  <c r="AT146" i="49"/>
  <c r="AS146" i="49"/>
  <c r="AR146" i="49"/>
  <c r="AQ146" i="49"/>
  <c r="AP146" i="49"/>
  <c r="AY146" i="49" s="1"/>
  <c r="AN146" i="49"/>
  <c r="AX145" i="49"/>
  <c r="AW145" i="49"/>
  <c r="AV145" i="49"/>
  <c r="AU145" i="49"/>
  <c r="AT145" i="49"/>
  <c r="AS145" i="49"/>
  <c r="AR145" i="49"/>
  <c r="AQ145" i="49"/>
  <c r="AP145" i="49"/>
  <c r="AN145" i="49"/>
  <c r="AX144" i="49"/>
  <c r="AW144" i="49"/>
  <c r="AV144" i="49"/>
  <c r="AU144" i="49"/>
  <c r="AT144" i="49"/>
  <c r="AS144" i="49"/>
  <c r="AR144" i="49"/>
  <c r="AQ144" i="49"/>
  <c r="AP144" i="49"/>
  <c r="AN144" i="49"/>
  <c r="AX143" i="49"/>
  <c r="AW143" i="49"/>
  <c r="AV143" i="49"/>
  <c r="AU143" i="49"/>
  <c r="AT143" i="49"/>
  <c r="AS143" i="49"/>
  <c r="AR143" i="49"/>
  <c r="AQ143" i="49"/>
  <c r="AP143" i="49"/>
  <c r="AN143" i="49"/>
  <c r="AX142" i="49"/>
  <c r="AW142" i="49"/>
  <c r="AV142" i="49"/>
  <c r="AU142" i="49"/>
  <c r="AT142" i="49"/>
  <c r="AS142" i="49"/>
  <c r="AR142" i="49"/>
  <c r="AQ142" i="49"/>
  <c r="AP142" i="49"/>
  <c r="AY142" i="49" s="1"/>
  <c r="AN142" i="49"/>
  <c r="AX141" i="49"/>
  <c r="AW141" i="49"/>
  <c r="AV141" i="49"/>
  <c r="AU141" i="49"/>
  <c r="AT141" i="49"/>
  <c r="AS141" i="49"/>
  <c r="AR141" i="49"/>
  <c r="AQ141" i="49"/>
  <c r="AP141" i="49"/>
  <c r="AN141" i="49"/>
  <c r="AX140" i="49"/>
  <c r="AW140" i="49"/>
  <c r="AV140" i="49"/>
  <c r="AU140" i="49"/>
  <c r="AT140" i="49"/>
  <c r="AS140" i="49"/>
  <c r="AR140" i="49"/>
  <c r="AQ140" i="49"/>
  <c r="AP140" i="49"/>
  <c r="AN140" i="49"/>
  <c r="AX139" i="49"/>
  <c r="AW139" i="49"/>
  <c r="AV139" i="49"/>
  <c r="AU139" i="49"/>
  <c r="AT139" i="49"/>
  <c r="AS139" i="49"/>
  <c r="AR139" i="49"/>
  <c r="AQ139" i="49"/>
  <c r="AP139" i="49"/>
  <c r="AN139" i="49"/>
  <c r="AX138" i="49"/>
  <c r="AW138" i="49"/>
  <c r="AV138" i="49"/>
  <c r="AU138" i="49"/>
  <c r="AT138" i="49"/>
  <c r="AS138" i="49"/>
  <c r="AR138" i="49"/>
  <c r="AQ138" i="49"/>
  <c r="AP138" i="49"/>
  <c r="AY138" i="49" s="1"/>
  <c r="AN138" i="49"/>
  <c r="AX137" i="49"/>
  <c r="AW137" i="49"/>
  <c r="AV137" i="49"/>
  <c r="AU137" i="49"/>
  <c r="AT137" i="49"/>
  <c r="AS137" i="49"/>
  <c r="AR137" i="49"/>
  <c r="AQ137" i="49"/>
  <c r="AP137" i="49"/>
  <c r="AN137" i="49"/>
  <c r="AX136" i="49"/>
  <c r="AW136" i="49"/>
  <c r="AV136" i="49"/>
  <c r="AU136" i="49"/>
  <c r="AT136" i="49"/>
  <c r="AS136" i="49"/>
  <c r="AR136" i="49"/>
  <c r="AQ136" i="49"/>
  <c r="AP136" i="49"/>
  <c r="AN136" i="49"/>
  <c r="AX135" i="49"/>
  <c r="AW135" i="49"/>
  <c r="AV135" i="49"/>
  <c r="AU135" i="49"/>
  <c r="AT135" i="49"/>
  <c r="AS135" i="49"/>
  <c r="AR135" i="49"/>
  <c r="AQ135" i="49"/>
  <c r="AP135" i="49"/>
  <c r="AN135" i="49"/>
  <c r="AX134" i="49"/>
  <c r="AW134" i="49"/>
  <c r="AV134" i="49"/>
  <c r="AU134" i="49"/>
  <c r="AT134" i="49"/>
  <c r="AS134" i="49"/>
  <c r="AR134" i="49"/>
  <c r="AQ134" i="49"/>
  <c r="AP134" i="49"/>
  <c r="AY134" i="49" s="1"/>
  <c r="AN134" i="49"/>
  <c r="AX133" i="49"/>
  <c r="AW133" i="49"/>
  <c r="AV133" i="49"/>
  <c r="AU133" i="49"/>
  <c r="AT133" i="49"/>
  <c r="AS133" i="49"/>
  <c r="AR133" i="49"/>
  <c r="AQ133" i="49"/>
  <c r="AP133" i="49"/>
  <c r="AN133" i="49"/>
  <c r="AX132" i="49"/>
  <c r="AW132" i="49"/>
  <c r="AV132" i="49"/>
  <c r="AU132" i="49"/>
  <c r="AT132" i="49"/>
  <c r="AS132" i="49"/>
  <c r="AR132" i="49"/>
  <c r="AQ132" i="49"/>
  <c r="AP132" i="49"/>
  <c r="AN132" i="49"/>
  <c r="AX131" i="49"/>
  <c r="AW131" i="49"/>
  <c r="AV131" i="49"/>
  <c r="AU131" i="49"/>
  <c r="AT131" i="49"/>
  <c r="AS131" i="49"/>
  <c r="AR131" i="49"/>
  <c r="AQ131" i="49"/>
  <c r="AP131" i="49"/>
  <c r="AN131" i="49"/>
  <c r="AX130" i="49"/>
  <c r="AW130" i="49"/>
  <c r="AV130" i="49"/>
  <c r="AU130" i="49"/>
  <c r="AT130" i="49"/>
  <c r="AS130" i="49"/>
  <c r="AR130" i="49"/>
  <c r="AQ130" i="49"/>
  <c r="AP130" i="49"/>
  <c r="AY130" i="49" s="1"/>
  <c r="AN130" i="49"/>
  <c r="AX129" i="49"/>
  <c r="AW129" i="49"/>
  <c r="AV129" i="49"/>
  <c r="AU129" i="49"/>
  <c r="AT129" i="49"/>
  <c r="AS129" i="49"/>
  <c r="AR129" i="49"/>
  <c r="AQ129" i="49"/>
  <c r="AP129" i="49"/>
  <c r="AN129" i="49"/>
  <c r="AX128" i="49"/>
  <c r="AW128" i="49"/>
  <c r="AV128" i="49"/>
  <c r="AU128" i="49"/>
  <c r="AT128" i="49"/>
  <c r="AS128" i="49"/>
  <c r="AR128" i="49"/>
  <c r="AQ128" i="49"/>
  <c r="AP128" i="49"/>
  <c r="AN128" i="49"/>
  <c r="AX127" i="49"/>
  <c r="AW127" i="49"/>
  <c r="AV127" i="49"/>
  <c r="AU127" i="49"/>
  <c r="AT127" i="49"/>
  <c r="AS127" i="49"/>
  <c r="AR127" i="49"/>
  <c r="AQ127" i="49"/>
  <c r="AP127" i="49"/>
  <c r="AN127" i="49"/>
  <c r="AX126" i="49"/>
  <c r="AW126" i="49"/>
  <c r="AV126" i="49"/>
  <c r="AU126" i="49"/>
  <c r="AT126" i="49"/>
  <c r="AS126" i="49"/>
  <c r="AR126" i="49"/>
  <c r="AQ126" i="49"/>
  <c r="AP126" i="49"/>
  <c r="AY126" i="49" s="1"/>
  <c r="AN126" i="49"/>
  <c r="AX125" i="49"/>
  <c r="AW125" i="49"/>
  <c r="AV125" i="49"/>
  <c r="AU125" i="49"/>
  <c r="AT125" i="49"/>
  <c r="AS125" i="49"/>
  <c r="AR125" i="49"/>
  <c r="AQ125" i="49"/>
  <c r="AP125" i="49"/>
  <c r="AN125" i="49"/>
  <c r="AX124" i="49"/>
  <c r="AW124" i="49"/>
  <c r="AV124" i="49"/>
  <c r="AU124" i="49"/>
  <c r="AT124" i="49"/>
  <c r="AS124" i="49"/>
  <c r="AR124" i="49"/>
  <c r="AQ124" i="49"/>
  <c r="AP124" i="49"/>
  <c r="AN124" i="49"/>
  <c r="AX123" i="49"/>
  <c r="AW123" i="49"/>
  <c r="AV123" i="49"/>
  <c r="AU123" i="49"/>
  <c r="AT123" i="49"/>
  <c r="AS123" i="49"/>
  <c r="AR123" i="49"/>
  <c r="AQ123" i="49"/>
  <c r="AP123" i="49"/>
  <c r="AN123" i="49"/>
  <c r="AX122" i="49"/>
  <c r="AW122" i="49"/>
  <c r="AV122" i="49"/>
  <c r="AU122" i="49"/>
  <c r="AT122" i="49"/>
  <c r="AS122" i="49"/>
  <c r="AR122" i="49"/>
  <c r="AQ122" i="49"/>
  <c r="AP122" i="49"/>
  <c r="AY122" i="49" s="1"/>
  <c r="AN122" i="49"/>
  <c r="AX121" i="49"/>
  <c r="AW121" i="49"/>
  <c r="AV121" i="49"/>
  <c r="AU121" i="49"/>
  <c r="AT121" i="49"/>
  <c r="AS121" i="49"/>
  <c r="AR121" i="49"/>
  <c r="AQ121" i="49"/>
  <c r="AP121" i="49"/>
  <c r="AN121" i="49"/>
  <c r="AX120" i="49"/>
  <c r="AW120" i="49"/>
  <c r="AV120" i="49"/>
  <c r="AU120" i="49"/>
  <c r="AT120" i="49"/>
  <c r="AS120" i="49"/>
  <c r="AR120" i="49"/>
  <c r="AQ120" i="49"/>
  <c r="AP120" i="49"/>
  <c r="AN120" i="49"/>
  <c r="AX119" i="49"/>
  <c r="AW119" i="49"/>
  <c r="AV119" i="49"/>
  <c r="AU119" i="49"/>
  <c r="AT119" i="49"/>
  <c r="AS119" i="49"/>
  <c r="AR119" i="49"/>
  <c r="AQ119" i="49"/>
  <c r="AP119" i="49"/>
  <c r="AN119" i="49"/>
  <c r="AX118" i="49"/>
  <c r="AW118" i="49"/>
  <c r="AV118" i="49"/>
  <c r="AU118" i="49"/>
  <c r="AT118" i="49"/>
  <c r="AS118" i="49"/>
  <c r="AR118" i="49"/>
  <c r="AQ118" i="49"/>
  <c r="AP118" i="49"/>
  <c r="AY118" i="49" s="1"/>
  <c r="AN118" i="49"/>
  <c r="AX117" i="49"/>
  <c r="AW117" i="49"/>
  <c r="AV117" i="49"/>
  <c r="AU117" i="49"/>
  <c r="AT117" i="49"/>
  <c r="AS117" i="49"/>
  <c r="AR117" i="49"/>
  <c r="AQ117" i="49"/>
  <c r="AP117" i="49"/>
  <c r="AN117" i="49"/>
  <c r="AX116" i="49"/>
  <c r="AW116" i="49"/>
  <c r="AV116" i="49"/>
  <c r="AU116" i="49"/>
  <c r="AT116" i="49"/>
  <c r="AS116" i="49"/>
  <c r="AR116" i="49"/>
  <c r="AQ116" i="49"/>
  <c r="AP116" i="49"/>
  <c r="AN116" i="49"/>
  <c r="AX115" i="49"/>
  <c r="AW115" i="49"/>
  <c r="AV115" i="49"/>
  <c r="AU115" i="49"/>
  <c r="AT115" i="49"/>
  <c r="AS115" i="49"/>
  <c r="AR115" i="49"/>
  <c r="AQ115" i="49"/>
  <c r="AP115" i="49"/>
  <c r="AN115" i="49"/>
  <c r="AX114" i="49"/>
  <c r="AW114" i="49"/>
  <c r="AV114" i="49"/>
  <c r="AU114" i="49"/>
  <c r="AT114" i="49"/>
  <c r="AS114" i="49"/>
  <c r="AR114" i="49"/>
  <c r="AQ114" i="49"/>
  <c r="AP114" i="49"/>
  <c r="AY114" i="49" s="1"/>
  <c r="AN114" i="49"/>
  <c r="AX113" i="49"/>
  <c r="AW113" i="49"/>
  <c r="AV113" i="49"/>
  <c r="AU113" i="49"/>
  <c r="AT113" i="49"/>
  <c r="AS113" i="49"/>
  <c r="AR113" i="49"/>
  <c r="AQ113" i="49"/>
  <c r="AP113" i="49"/>
  <c r="AN113" i="49"/>
  <c r="AX112" i="49"/>
  <c r="AW112" i="49"/>
  <c r="AV112" i="49"/>
  <c r="AU112" i="49"/>
  <c r="AT112" i="49"/>
  <c r="AS112" i="49"/>
  <c r="AR112" i="49"/>
  <c r="AQ112" i="49"/>
  <c r="AP112" i="49"/>
  <c r="AN112" i="49"/>
  <c r="AX111" i="49"/>
  <c r="AW111" i="49"/>
  <c r="AV111" i="49"/>
  <c r="AU111" i="49"/>
  <c r="AT111" i="49"/>
  <c r="AS111" i="49"/>
  <c r="AR111" i="49"/>
  <c r="AQ111" i="49"/>
  <c r="AP111" i="49"/>
  <c r="AN111" i="49"/>
  <c r="AX110" i="49"/>
  <c r="AW110" i="49"/>
  <c r="AV110" i="49"/>
  <c r="AU110" i="49"/>
  <c r="AT110" i="49"/>
  <c r="AS110" i="49"/>
  <c r="AR110" i="49"/>
  <c r="AQ110" i="49"/>
  <c r="AP110" i="49"/>
  <c r="AY110" i="49" s="1"/>
  <c r="AN110" i="49"/>
  <c r="AX109" i="49"/>
  <c r="AW109" i="49"/>
  <c r="AV109" i="49"/>
  <c r="AU109" i="49"/>
  <c r="AT109" i="49"/>
  <c r="AS109" i="49"/>
  <c r="AR109" i="49"/>
  <c r="AQ109" i="49"/>
  <c r="AP109" i="49"/>
  <c r="AN109" i="49"/>
  <c r="AX108" i="49"/>
  <c r="AW108" i="49"/>
  <c r="AV108" i="49"/>
  <c r="AU108" i="49"/>
  <c r="AT108" i="49"/>
  <c r="AS108" i="49"/>
  <c r="AR108" i="49"/>
  <c r="AQ108" i="49"/>
  <c r="AP108" i="49"/>
  <c r="AN108" i="49"/>
  <c r="AX107" i="49"/>
  <c r="AW107" i="49"/>
  <c r="AV107" i="49"/>
  <c r="AU107" i="49"/>
  <c r="AT107" i="49"/>
  <c r="AS107" i="49"/>
  <c r="AR107" i="49"/>
  <c r="AQ107" i="49"/>
  <c r="AP107" i="49"/>
  <c r="AN107" i="49"/>
  <c r="AX106" i="49"/>
  <c r="AW106" i="49"/>
  <c r="AV106" i="49"/>
  <c r="AU106" i="49"/>
  <c r="AT106" i="49"/>
  <c r="AS106" i="49"/>
  <c r="AR106" i="49"/>
  <c r="AQ106" i="49"/>
  <c r="AP106" i="49"/>
  <c r="AY106" i="49" s="1"/>
  <c r="AN106" i="49"/>
  <c r="AX105" i="49"/>
  <c r="AW105" i="49"/>
  <c r="AV105" i="49"/>
  <c r="AU105" i="49"/>
  <c r="AT105" i="49"/>
  <c r="AS105" i="49"/>
  <c r="AR105" i="49"/>
  <c r="AQ105" i="49"/>
  <c r="AP105" i="49"/>
  <c r="AN105" i="49"/>
  <c r="AX104" i="49"/>
  <c r="AW104" i="49"/>
  <c r="AV104" i="49"/>
  <c r="AU104" i="49"/>
  <c r="AT104" i="49"/>
  <c r="AS104" i="49"/>
  <c r="AR104" i="49"/>
  <c r="AQ104" i="49"/>
  <c r="AP104" i="49"/>
  <c r="AN104" i="49"/>
  <c r="AX103" i="49"/>
  <c r="AW103" i="49"/>
  <c r="AV103" i="49"/>
  <c r="AU103" i="49"/>
  <c r="AT103" i="49"/>
  <c r="AS103" i="49"/>
  <c r="AR103" i="49"/>
  <c r="AQ103" i="49"/>
  <c r="AP103" i="49"/>
  <c r="AN103" i="49"/>
  <c r="AX102" i="49"/>
  <c r="AW102" i="49"/>
  <c r="AV102" i="49"/>
  <c r="AU102" i="49"/>
  <c r="AT102" i="49"/>
  <c r="AS102" i="49"/>
  <c r="AR102" i="49"/>
  <c r="AQ102" i="49"/>
  <c r="AP102" i="49"/>
  <c r="AY102" i="49" s="1"/>
  <c r="AN102" i="49"/>
  <c r="AX101" i="49"/>
  <c r="AW101" i="49"/>
  <c r="AV101" i="49"/>
  <c r="AU101" i="49"/>
  <c r="AT101" i="49"/>
  <c r="AS101" i="49"/>
  <c r="AR101" i="49"/>
  <c r="AQ101" i="49"/>
  <c r="AP101" i="49"/>
  <c r="AN101" i="49"/>
  <c r="AX100" i="49"/>
  <c r="AW100" i="49"/>
  <c r="AV100" i="49"/>
  <c r="AU100" i="49"/>
  <c r="AT100" i="49"/>
  <c r="AS100" i="49"/>
  <c r="AR100" i="49"/>
  <c r="AQ100" i="49"/>
  <c r="AP100" i="49"/>
  <c r="AN100" i="49"/>
  <c r="AX99" i="49"/>
  <c r="AW99" i="49"/>
  <c r="AV99" i="49"/>
  <c r="AU99" i="49"/>
  <c r="AT99" i="49"/>
  <c r="AS99" i="49"/>
  <c r="AR99" i="49"/>
  <c r="AQ99" i="49"/>
  <c r="AP99" i="49"/>
  <c r="AN99" i="49"/>
  <c r="AX98" i="49"/>
  <c r="AW98" i="49"/>
  <c r="AV98" i="49"/>
  <c r="AU98" i="49"/>
  <c r="AT98" i="49"/>
  <c r="AS98" i="49"/>
  <c r="AR98" i="49"/>
  <c r="AQ98" i="49"/>
  <c r="AP98" i="49"/>
  <c r="AN98" i="49"/>
  <c r="AX97" i="49"/>
  <c r="AW97" i="49"/>
  <c r="AV97" i="49"/>
  <c r="AU97" i="49"/>
  <c r="AT97" i="49"/>
  <c r="AS97" i="49"/>
  <c r="AR97" i="49"/>
  <c r="AQ97" i="49"/>
  <c r="AP97" i="49"/>
  <c r="AN97" i="49"/>
  <c r="AX96" i="49"/>
  <c r="AW96" i="49"/>
  <c r="AV96" i="49"/>
  <c r="AU96" i="49"/>
  <c r="AT96" i="49"/>
  <c r="AS96" i="49"/>
  <c r="AR96" i="49"/>
  <c r="AQ96" i="49"/>
  <c r="AP96" i="49"/>
  <c r="AN96" i="49"/>
  <c r="AX95" i="49"/>
  <c r="AW95" i="49"/>
  <c r="AV95" i="49"/>
  <c r="AU95" i="49"/>
  <c r="AT95" i="49"/>
  <c r="AS95" i="49"/>
  <c r="AR95" i="49"/>
  <c r="AQ95" i="49"/>
  <c r="AP95" i="49"/>
  <c r="AN95" i="49"/>
  <c r="AX94" i="49"/>
  <c r="AW94" i="49"/>
  <c r="AV94" i="49"/>
  <c r="AU94" i="49"/>
  <c r="AT94" i="49"/>
  <c r="AS94" i="49"/>
  <c r="AR94" i="49"/>
  <c r="AQ94" i="49"/>
  <c r="AP94" i="49"/>
  <c r="AY94" i="49" s="1"/>
  <c r="AN94" i="49"/>
  <c r="AX93" i="49"/>
  <c r="AW93" i="49"/>
  <c r="AV93" i="49"/>
  <c r="AU93" i="49"/>
  <c r="AT93" i="49"/>
  <c r="AS93" i="49"/>
  <c r="AR93" i="49"/>
  <c r="AQ93" i="49"/>
  <c r="AP93" i="49"/>
  <c r="AN93" i="49"/>
  <c r="AX92" i="49"/>
  <c r="AW92" i="49"/>
  <c r="AV92" i="49"/>
  <c r="AU92" i="49"/>
  <c r="AT92" i="49"/>
  <c r="AS92" i="49"/>
  <c r="AR92" i="49"/>
  <c r="AQ92" i="49"/>
  <c r="AP92" i="49"/>
  <c r="AN92" i="49"/>
  <c r="AX91" i="49"/>
  <c r="AW91" i="49"/>
  <c r="AV91" i="49"/>
  <c r="AU91" i="49"/>
  <c r="AT91" i="49"/>
  <c r="AS91" i="49"/>
  <c r="AR91" i="49"/>
  <c r="AQ91" i="49"/>
  <c r="AP91" i="49"/>
  <c r="AN91" i="49"/>
  <c r="AX90" i="49"/>
  <c r="AW90" i="49"/>
  <c r="AV90" i="49"/>
  <c r="AU90" i="49"/>
  <c r="AT90" i="49"/>
  <c r="AS90" i="49"/>
  <c r="AR90" i="49"/>
  <c r="AQ90" i="49"/>
  <c r="AP90" i="49"/>
  <c r="AY90" i="49" s="1"/>
  <c r="AN90" i="49"/>
  <c r="AX89" i="49"/>
  <c r="AW89" i="49"/>
  <c r="AV89" i="49"/>
  <c r="AU89" i="49"/>
  <c r="AT89" i="49"/>
  <c r="AS89" i="49"/>
  <c r="AR89" i="49"/>
  <c r="AQ89" i="49"/>
  <c r="AP89" i="49"/>
  <c r="AN89" i="49"/>
  <c r="AX88" i="49"/>
  <c r="AW88" i="49"/>
  <c r="AV88" i="49"/>
  <c r="AU88" i="49"/>
  <c r="AT88" i="49"/>
  <c r="AS88" i="49"/>
  <c r="AR88" i="49"/>
  <c r="AQ88" i="49"/>
  <c r="AP88" i="49"/>
  <c r="AN88" i="49"/>
  <c r="AX87" i="49"/>
  <c r="AW87" i="49"/>
  <c r="AV87" i="49"/>
  <c r="AU87" i="49"/>
  <c r="AT87" i="49"/>
  <c r="AS87" i="49"/>
  <c r="AR87" i="49"/>
  <c r="AQ87" i="49"/>
  <c r="AP87" i="49"/>
  <c r="AN87" i="49"/>
  <c r="AX86" i="49"/>
  <c r="AW86" i="49"/>
  <c r="AV86" i="49"/>
  <c r="AU86" i="49"/>
  <c r="AT86" i="49"/>
  <c r="AS86" i="49"/>
  <c r="AR86" i="49"/>
  <c r="AQ86" i="49"/>
  <c r="AP86" i="49"/>
  <c r="AN86" i="49"/>
  <c r="AX85" i="49"/>
  <c r="AW85" i="49"/>
  <c r="AV85" i="49"/>
  <c r="AU85" i="49"/>
  <c r="AT85" i="49"/>
  <c r="AS85" i="49"/>
  <c r="AR85" i="49"/>
  <c r="AQ85" i="49"/>
  <c r="AP85" i="49"/>
  <c r="AN85" i="49"/>
  <c r="AX84" i="49"/>
  <c r="AW84" i="49"/>
  <c r="AV84" i="49"/>
  <c r="AU84" i="49"/>
  <c r="AT84" i="49"/>
  <c r="AS84" i="49"/>
  <c r="AR84" i="49"/>
  <c r="AQ84" i="49"/>
  <c r="AP84" i="49"/>
  <c r="AN84" i="49"/>
  <c r="AX83" i="49"/>
  <c r="AW83" i="49"/>
  <c r="AV83" i="49"/>
  <c r="AU83" i="49"/>
  <c r="AT83" i="49"/>
  <c r="AS83" i="49"/>
  <c r="AR83" i="49"/>
  <c r="AQ83" i="49"/>
  <c r="AP83" i="49"/>
  <c r="AN83" i="49"/>
  <c r="AX82" i="49"/>
  <c r="AW82" i="49"/>
  <c r="AV82" i="49"/>
  <c r="AU82" i="49"/>
  <c r="AT82" i="49"/>
  <c r="AS82" i="49"/>
  <c r="AR82" i="49"/>
  <c r="AQ82" i="49"/>
  <c r="AP82" i="49"/>
  <c r="AY82" i="49" s="1"/>
  <c r="AN82" i="49"/>
  <c r="AX81" i="49"/>
  <c r="AW81" i="49"/>
  <c r="AV81" i="49"/>
  <c r="AU81" i="49"/>
  <c r="AT81" i="49"/>
  <c r="AS81" i="49"/>
  <c r="AR81" i="49"/>
  <c r="AQ81" i="49"/>
  <c r="AP81" i="49"/>
  <c r="AN81" i="49"/>
  <c r="AX80" i="49"/>
  <c r="AW80" i="49"/>
  <c r="AV80" i="49"/>
  <c r="AU80" i="49"/>
  <c r="AT80" i="49"/>
  <c r="AS80" i="49"/>
  <c r="AR80" i="49"/>
  <c r="AQ80" i="49"/>
  <c r="AP80" i="49"/>
  <c r="AN80" i="49"/>
  <c r="AX79" i="49"/>
  <c r="AW79" i="49"/>
  <c r="AV79" i="49"/>
  <c r="AU79" i="49"/>
  <c r="AT79" i="49"/>
  <c r="AS79" i="49"/>
  <c r="AR79" i="49"/>
  <c r="AQ79" i="49"/>
  <c r="AP79" i="49"/>
  <c r="AN79" i="49"/>
  <c r="AX78" i="49"/>
  <c r="AW78" i="49"/>
  <c r="AV78" i="49"/>
  <c r="AU78" i="49"/>
  <c r="AT78" i="49"/>
  <c r="AS78" i="49"/>
  <c r="AR78" i="49"/>
  <c r="AQ78" i="49"/>
  <c r="AP78" i="49"/>
  <c r="AY78" i="49" s="1"/>
  <c r="AN78" i="49"/>
  <c r="AX77" i="49"/>
  <c r="AW77" i="49"/>
  <c r="AV77" i="49"/>
  <c r="AU77" i="49"/>
  <c r="AT77" i="49"/>
  <c r="AS77" i="49"/>
  <c r="AR77" i="49"/>
  <c r="AQ77" i="49"/>
  <c r="AP77" i="49"/>
  <c r="AN77" i="49"/>
  <c r="AX76" i="49"/>
  <c r="AW76" i="49"/>
  <c r="AV76" i="49"/>
  <c r="AU76" i="49"/>
  <c r="AT76" i="49"/>
  <c r="AS76" i="49"/>
  <c r="AR76" i="49"/>
  <c r="AQ76" i="49"/>
  <c r="AP76" i="49"/>
  <c r="AN76" i="49"/>
  <c r="AX75" i="49"/>
  <c r="AW75" i="49"/>
  <c r="AV75" i="49"/>
  <c r="AU75" i="49"/>
  <c r="AT75" i="49"/>
  <c r="AS75" i="49"/>
  <c r="AR75" i="49"/>
  <c r="AQ75" i="49"/>
  <c r="AP75" i="49"/>
  <c r="AN75" i="49"/>
  <c r="AX74" i="49"/>
  <c r="AW74" i="49"/>
  <c r="AV74" i="49"/>
  <c r="AU74" i="49"/>
  <c r="AT74" i="49"/>
  <c r="AS74" i="49"/>
  <c r="AR74" i="49"/>
  <c r="AQ74" i="49"/>
  <c r="AP74" i="49"/>
  <c r="AY74" i="49" s="1"/>
  <c r="AN74" i="49"/>
  <c r="AX73" i="49"/>
  <c r="AW73" i="49"/>
  <c r="AV73" i="49"/>
  <c r="AU73" i="49"/>
  <c r="AT73" i="49"/>
  <c r="AS73" i="49"/>
  <c r="AR73" i="49"/>
  <c r="AQ73" i="49"/>
  <c r="AP73" i="49"/>
  <c r="AN73" i="49"/>
  <c r="AX72" i="49"/>
  <c r="AW72" i="49"/>
  <c r="AV72" i="49"/>
  <c r="AU72" i="49"/>
  <c r="AT72" i="49"/>
  <c r="AS72" i="49"/>
  <c r="AR72" i="49"/>
  <c r="AQ72" i="49"/>
  <c r="AP72" i="49"/>
  <c r="AN72" i="49"/>
  <c r="AX69" i="49"/>
  <c r="AW69" i="49"/>
  <c r="AV69" i="49"/>
  <c r="AU69" i="49"/>
  <c r="AT69" i="49"/>
  <c r="AS69" i="49"/>
  <c r="AR69" i="49"/>
  <c r="AQ69" i="49"/>
  <c r="AP69" i="49"/>
  <c r="AN69" i="49"/>
  <c r="AX68" i="49"/>
  <c r="AW68" i="49"/>
  <c r="AV68" i="49"/>
  <c r="AU68" i="49"/>
  <c r="AT68" i="49"/>
  <c r="AS68" i="49"/>
  <c r="AR68" i="49"/>
  <c r="AQ68" i="49"/>
  <c r="AP68" i="49"/>
  <c r="AY68" i="49" s="1"/>
  <c r="AN68" i="49"/>
  <c r="AX67" i="49"/>
  <c r="AW67" i="49"/>
  <c r="AV67" i="49"/>
  <c r="AU67" i="49"/>
  <c r="AT67" i="49"/>
  <c r="AS67" i="49"/>
  <c r="AR67" i="49"/>
  <c r="AQ67" i="49"/>
  <c r="AP67" i="49"/>
  <c r="AN67" i="49"/>
  <c r="AX66" i="49"/>
  <c r="AW66" i="49"/>
  <c r="AV66" i="49"/>
  <c r="AU66" i="49"/>
  <c r="AT66" i="49"/>
  <c r="AS66" i="49"/>
  <c r="AR66" i="49"/>
  <c r="AQ66" i="49"/>
  <c r="AP66" i="49"/>
  <c r="AN66" i="49"/>
  <c r="AX65" i="49"/>
  <c r="AW65" i="49"/>
  <c r="AV65" i="49"/>
  <c r="AU65" i="49"/>
  <c r="AT65" i="49"/>
  <c r="AS65" i="49"/>
  <c r="AR65" i="49"/>
  <c r="AQ65" i="49"/>
  <c r="AP65" i="49"/>
  <c r="AN65" i="49"/>
  <c r="AX64" i="49"/>
  <c r="AW64" i="49"/>
  <c r="AV64" i="49"/>
  <c r="AU64" i="49"/>
  <c r="AT64" i="49"/>
  <c r="AS64" i="49"/>
  <c r="AR64" i="49"/>
  <c r="AQ64" i="49"/>
  <c r="AP64" i="49"/>
  <c r="AY64" i="49" s="1"/>
  <c r="AN64" i="49"/>
  <c r="AX63" i="49"/>
  <c r="AW63" i="49"/>
  <c r="AV63" i="49"/>
  <c r="AU63" i="49"/>
  <c r="AT63" i="49"/>
  <c r="AS63" i="49"/>
  <c r="AR63" i="49"/>
  <c r="AQ63" i="49"/>
  <c r="AP63" i="49"/>
  <c r="AN63" i="49"/>
  <c r="AX62" i="49"/>
  <c r="AW62" i="49"/>
  <c r="AV62" i="49"/>
  <c r="AU62" i="49"/>
  <c r="AT62" i="49"/>
  <c r="AS62" i="49"/>
  <c r="AR62" i="49"/>
  <c r="AQ62" i="49"/>
  <c r="AP62" i="49"/>
  <c r="AN62" i="49"/>
  <c r="AX61" i="49"/>
  <c r="AW61" i="49"/>
  <c r="AV61" i="49"/>
  <c r="AU61" i="49"/>
  <c r="AT61" i="49"/>
  <c r="AS61" i="49"/>
  <c r="AR61" i="49"/>
  <c r="AQ61" i="49"/>
  <c r="AP61" i="49"/>
  <c r="AN61" i="49"/>
  <c r="AX60" i="49"/>
  <c r="AW60" i="49"/>
  <c r="AV60" i="49"/>
  <c r="AU60" i="49"/>
  <c r="AT60" i="49"/>
  <c r="AS60" i="49"/>
  <c r="AR60" i="49"/>
  <c r="AQ60" i="49"/>
  <c r="AP60" i="49"/>
  <c r="AY60" i="49" s="1"/>
  <c r="AN60" i="49"/>
  <c r="AX59" i="49"/>
  <c r="AW59" i="49"/>
  <c r="AV59" i="49"/>
  <c r="AU59" i="49"/>
  <c r="AT59" i="49"/>
  <c r="AS59" i="49"/>
  <c r="AR59" i="49"/>
  <c r="AQ59" i="49"/>
  <c r="AP59" i="49"/>
  <c r="AN59" i="49"/>
  <c r="AX58" i="49"/>
  <c r="AW58" i="49"/>
  <c r="AV58" i="49"/>
  <c r="AU58" i="49"/>
  <c r="AT58" i="49"/>
  <c r="AS58" i="49"/>
  <c r="AR58" i="49"/>
  <c r="AQ58" i="49"/>
  <c r="AP58" i="49"/>
  <c r="AN58" i="49"/>
  <c r="AX57" i="49"/>
  <c r="AW57" i="49"/>
  <c r="AV57" i="49"/>
  <c r="AU57" i="49"/>
  <c r="AT57" i="49"/>
  <c r="AS57" i="49"/>
  <c r="AR57" i="49"/>
  <c r="AQ57" i="49"/>
  <c r="AP57" i="49"/>
  <c r="AN57" i="49"/>
  <c r="AX56" i="49"/>
  <c r="AW56" i="49"/>
  <c r="AV56" i="49"/>
  <c r="AU56" i="49"/>
  <c r="AT56" i="49"/>
  <c r="AS56" i="49"/>
  <c r="AR56" i="49"/>
  <c r="AQ56" i="49"/>
  <c r="AP56" i="49"/>
  <c r="AY56" i="49" s="1"/>
  <c r="AN56" i="49"/>
  <c r="AX55" i="49"/>
  <c r="AW55" i="49"/>
  <c r="AV55" i="49"/>
  <c r="AU55" i="49"/>
  <c r="AT55" i="49"/>
  <c r="AS55" i="49"/>
  <c r="AR55" i="49"/>
  <c r="AQ55" i="49"/>
  <c r="AP55" i="49"/>
  <c r="AN55" i="49"/>
  <c r="AX54" i="49"/>
  <c r="AW54" i="49"/>
  <c r="AV54" i="49"/>
  <c r="AU54" i="49"/>
  <c r="AT54" i="49"/>
  <c r="AS54" i="49"/>
  <c r="AR54" i="49"/>
  <c r="AQ54" i="49"/>
  <c r="AP54" i="49"/>
  <c r="AN54" i="49"/>
  <c r="AX53" i="49"/>
  <c r="AW53" i="49"/>
  <c r="AV53" i="49"/>
  <c r="AU53" i="49"/>
  <c r="AT53" i="49"/>
  <c r="AS53" i="49"/>
  <c r="AR53" i="49"/>
  <c r="AQ53" i="49"/>
  <c r="AP53" i="49"/>
  <c r="AN53" i="49"/>
  <c r="AX52" i="49"/>
  <c r="AW52" i="49"/>
  <c r="AV52" i="49"/>
  <c r="AU52" i="49"/>
  <c r="AT52" i="49"/>
  <c r="AS52" i="49"/>
  <c r="AR52" i="49"/>
  <c r="AQ52" i="49"/>
  <c r="AP52" i="49"/>
  <c r="AY52" i="49" s="1"/>
  <c r="AN52" i="49"/>
  <c r="AX51" i="49"/>
  <c r="AW51" i="49"/>
  <c r="AV51" i="49"/>
  <c r="AU51" i="49"/>
  <c r="AT51" i="49"/>
  <c r="AS51" i="49"/>
  <c r="AR51" i="49"/>
  <c r="AQ51" i="49"/>
  <c r="AP51" i="49"/>
  <c r="AN51" i="49"/>
  <c r="AX50" i="49"/>
  <c r="AW50" i="49"/>
  <c r="AV50" i="49"/>
  <c r="AU50" i="49"/>
  <c r="AT50" i="49"/>
  <c r="AS50" i="49"/>
  <c r="AR50" i="49"/>
  <c r="AQ50" i="49"/>
  <c r="AP50" i="49"/>
  <c r="AN50" i="49"/>
  <c r="AX49" i="49"/>
  <c r="AW49" i="49"/>
  <c r="AV49" i="49"/>
  <c r="AU49" i="49"/>
  <c r="AT49" i="49"/>
  <c r="AS49" i="49"/>
  <c r="AR49" i="49"/>
  <c r="AQ49" i="49"/>
  <c r="AP49" i="49"/>
  <c r="AN49" i="49"/>
  <c r="AX48" i="49"/>
  <c r="AW48" i="49"/>
  <c r="AV48" i="49"/>
  <c r="AU48" i="49"/>
  <c r="AT48" i="49"/>
  <c r="AS48" i="49"/>
  <c r="AR48" i="49"/>
  <c r="AQ48" i="49"/>
  <c r="AP48" i="49"/>
  <c r="AY48" i="49" s="1"/>
  <c r="AN48" i="49"/>
  <c r="AX47" i="49"/>
  <c r="AW47" i="49"/>
  <c r="AV47" i="49"/>
  <c r="AU47" i="49"/>
  <c r="AT47" i="49"/>
  <c r="AS47" i="49"/>
  <c r="AR47" i="49"/>
  <c r="AQ47" i="49"/>
  <c r="AP47" i="49"/>
  <c r="AN47" i="49"/>
  <c r="AX46" i="49"/>
  <c r="AW46" i="49"/>
  <c r="AV46" i="49"/>
  <c r="AU46" i="49"/>
  <c r="AT46" i="49"/>
  <c r="AS46" i="49"/>
  <c r="AR46" i="49"/>
  <c r="AQ46" i="49"/>
  <c r="AP46" i="49"/>
  <c r="AN46" i="49"/>
  <c r="AX45" i="49"/>
  <c r="AW45" i="49"/>
  <c r="AV45" i="49"/>
  <c r="AU45" i="49"/>
  <c r="AT45" i="49"/>
  <c r="AS45" i="49"/>
  <c r="AR45" i="49"/>
  <c r="AQ45" i="49"/>
  <c r="AP45" i="49"/>
  <c r="AN45" i="49"/>
  <c r="AX44" i="49"/>
  <c r="AW44" i="49"/>
  <c r="AV44" i="49"/>
  <c r="AU44" i="49"/>
  <c r="AT44" i="49"/>
  <c r="AS44" i="49"/>
  <c r="AR44" i="49"/>
  <c r="AQ44" i="49"/>
  <c r="AP44" i="49"/>
  <c r="AY44" i="49" s="1"/>
  <c r="AN44" i="49"/>
  <c r="AX43" i="49"/>
  <c r="AW43" i="49"/>
  <c r="AV43" i="49"/>
  <c r="AU43" i="49"/>
  <c r="AT43" i="49"/>
  <c r="AS43" i="49"/>
  <c r="AR43" i="49"/>
  <c r="AQ43" i="49"/>
  <c r="AP43" i="49"/>
  <c r="AN43" i="49"/>
  <c r="AX42" i="49"/>
  <c r="AW42" i="49"/>
  <c r="AV42" i="49"/>
  <c r="AU42" i="49"/>
  <c r="AT42" i="49"/>
  <c r="AS42" i="49"/>
  <c r="AR42" i="49"/>
  <c r="AQ42" i="49"/>
  <c r="AP42" i="49"/>
  <c r="AN42" i="49"/>
  <c r="AX41" i="49"/>
  <c r="AW41" i="49"/>
  <c r="AV41" i="49"/>
  <c r="AU41" i="49"/>
  <c r="AT41" i="49"/>
  <c r="AS41" i="49"/>
  <c r="AR41" i="49"/>
  <c r="AQ41" i="49"/>
  <c r="AP41" i="49"/>
  <c r="AN41" i="49"/>
  <c r="AX40" i="49"/>
  <c r="AW40" i="49"/>
  <c r="AV40" i="49"/>
  <c r="AU40" i="49"/>
  <c r="AT40" i="49"/>
  <c r="AS40" i="49"/>
  <c r="AR40" i="49"/>
  <c r="AQ40" i="49"/>
  <c r="AP40" i="49"/>
  <c r="AY40" i="49" s="1"/>
  <c r="AN40" i="49"/>
  <c r="AX39" i="49"/>
  <c r="AW39" i="49"/>
  <c r="AV39" i="49"/>
  <c r="AU39" i="49"/>
  <c r="AT39" i="49"/>
  <c r="AS39" i="49"/>
  <c r="AR39" i="49"/>
  <c r="AQ39" i="49"/>
  <c r="AP39" i="49"/>
  <c r="AN39" i="49"/>
  <c r="AX38" i="49"/>
  <c r="AW38" i="49"/>
  <c r="AV38" i="49"/>
  <c r="AU38" i="49"/>
  <c r="AT38" i="49"/>
  <c r="AS38" i="49"/>
  <c r="AR38" i="49"/>
  <c r="AQ38" i="49"/>
  <c r="AP38" i="49"/>
  <c r="AN38" i="49"/>
  <c r="AX37" i="49"/>
  <c r="AW37" i="49"/>
  <c r="AV37" i="49"/>
  <c r="AU37" i="49"/>
  <c r="AT37" i="49"/>
  <c r="AS37" i="49"/>
  <c r="AR37" i="49"/>
  <c r="AQ37" i="49"/>
  <c r="AP37" i="49"/>
  <c r="AN37" i="49"/>
  <c r="AX36" i="49"/>
  <c r="AW36" i="49"/>
  <c r="AV36" i="49"/>
  <c r="AU36" i="49"/>
  <c r="AT36" i="49"/>
  <c r="AS36" i="49"/>
  <c r="AR36" i="49"/>
  <c r="AQ36" i="49"/>
  <c r="AP36" i="49"/>
  <c r="AY36" i="49" s="1"/>
  <c r="AN36" i="49"/>
  <c r="AX35" i="49"/>
  <c r="AW35" i="49"/>
  <c r="AV35" i="49"/>
  <c r="AU35" i="49"/>
  <c r="AT35" i="49"/>
  <c r="AS35" i="49"/>
  <c r="AR35" i="49"/>
  <c r="AQ35" i="49"/>
  <c r="AP35" i="49"/>
  <c r="AN35" i="49"/>
  <c r="AX34" i="49"/>
  <c r="AW34" i="49"/>
  <c r="AV34" i="49"/>
  <c r="AU34" i="49"/>
  <c r="AT34" i="49"/>
  <c r="AS34" i="49"/>
  <c r="AR34" i="49"/>
  <c r="AQ34" i="49"/>
  <c r="AP34" i="49"/>
  <c r="AN34" i="49"/>
  <c r="AX33" i="49"/>
  <c r="AW33" i="49"/>
  <c r="AV33" i="49"/>
  <c r="AU33" i="49"/>
  <c r="AT33" i="49"/>
  <c r="AS33" i="49"/>
  <c r="AR33" i="49"/>
  <c r="AQ33" i="49"/>
  <c r="AP33" i="49"/>
  <c r="AN33" i="49"/>
  <c r="AX32" i="49"/>
  <c r="AW32" i="49"/>
  <c r="AV32" i="49"/>
  <c r="AU32" i="49"/>
  <c r="AT32" i="49"/>
  <c r="AS32" i="49"/>
  <c r="AR32" i="49"/>
  <c r="AQ32" i="49"/>
  <c r="AP32" i="49"/>
  <c r="AY32" i="49" s="1"/>
  <c r="AN32" i="49"/>
  <c r="AX31" i="49"/>
  <c r="AW31" i="49"/>
  <c r="AV31" i="49"/>
  <c r="AU31" i="49"/>
  <c r="AT31" i="49"/>
  <c r="AS31" i="49"/>
  <c r="AR31" i="49"/>
  <c r="AQ31" i="49"/>
  <c r="AP31" i="49"/>
  <c r="AN31" i="49"/>
  <c r="AX30" i="49"/>
  <c r="AW30" i="49"/>
  <c r="AV30" i="49"/>
  <c r="AU30" i="49"/>
  <c r="AT30" i="49"/>
  <c r="AS30" i="49"/>
  <c r="AR30" i="49"/>
  <c r="AQ30" i="49"/>
  <c r="AP30" i="49"/>
  <c r="AN30" i="49"/>
  <c r="AX29" i="49"/>
  <c r="AW29" i="49"/>
  <c r="AV29" i="49"/>
  <c r="AU29" i="49"/>
  <c r="AT29" i="49"/>
  <c r="AS29" i="49"/>
  <c r="AR29" i="49"/>
  <c r="AQ29" i="49"/>
  <c r="AP29" i="49"/>
  <c r="AN29" i="49"/>
  <c r="AX28" i="49"/>
  <c r="AW28" i="49"/>
  <c r="AV28" i="49"/>
  <c r="AU28" i="49"/>
  <c r="AT28" i="49"/>
  <c r="AS28" i="49"/>
  <c r="AR28" i="49"/>
  <c r="AQ28" i="49"/>
  <c r="AP28" i="49"/>
  <c r="AY28" i="49" s="1"/>
  <c r="AN28" i="49"/>
  <c r="AX27" i="49"/>
  <c r="AW27" i="49"/>
  <c r="AV27" i="49"/>
  <c r="AU27" i="49"/>
  <c r="AT27" i="49"/>
  <c r="AS27" i="49"/>
  <c r="AR27" i="49"/>
  <c r="AQ27" i="49"/>
  <c r="AP27" i="49"/>
  <c r="AN27" i="49"/>
  <c r="AX26" i="49"/>
  <c r="AW26" i="49"/>
  <c r="AV26" i="49"/>
  <c r="AU26" i="49"/>
  <c r="AT26" i="49"/>
  <c r="AS26" i="49"/>
  <c r="AR26" i="49"/>
  <c r="AQ26" i="49"/>
  <c r="AP26" i="49"/>
  <c r="AN26" i="49"/>
  <c r="AX25" i="49"/>
  <c r="AW25" i="49"/>
  <c r="AV25" i="49"/>
  <c r="AU25" i="49"/>
  <c r="AT25" i="49"/>
  <c r="AS25" i="49"/>
  <c r="AR25" i="49"/>
  <c r="AQ25" i="49"/>
  <c r="AP25" i="49"/>
  <c r="AN25" i="49"/>
  <c r="AX24" i="49"/>
  <c r="AW24" i="49"/>
  <c r="AV24" i="49"/>
  <c r="AU24" i="49"/>
  <c r="AT24" i="49"/>
  <c r="AS24" i="49"/>
  <c r="AR24" i="49"/>
  <c r="AQ24" i="49"/>
  <c r="AP24" i="49"/>
  <c r="AY24" i="49" s="1"/>
  <c r="AN24" i="49"/>
  <c r="AX23" i="49"/>
  <c r="AW23" i="49"/>
  <c r="AV23" i="49"/>
  <c r="AU23" i="49"/>
  <c r="AT23" i="49"/>
  <c r="AS23" i="49"/>
  <c r="AR23" i="49"/>
  <c r="AQ23" i="49"/>
  <c r="AP23" i="49"/>
  <c r="AN23" i="49"/>
  <c r="AX22" i="49"/>
  <c r="AW22" i="49"/>
  <c r="AV22" i="49"/>
  <c r="AU22" i="49"/>
  <c r="AT22" i="49"/>
  <c r="AS22" i="49"/>
  <c r="AR22" i="49"/>
  <c r="AQ22" i="49"/>
  <c r="AP22" i="49"/>
  <c r="AN22" i="49"/>
  <c r="AX21" i="49"/>
  <c r="AW21" i="49"/>
  <c r="AV21" i="49"/>
  <c r="AU21" i="49"/>
  <c r="AT21" i="49"/>
  <c r="AS21" i="49"/>
  <c r="AR21" i="49"/>
  <c r="AQ21" i="49"/>
  <c r="AP21" i="49"/>
  <c r="AN21" i="49"/>
  <c r="AX20" i="49"/>
  <c r="AW20" i="49"/>
  <c r="AV20" i="49"/>
  <c r="AU20" i="49"/>
  <c r="AT20" i="49"/>
  <c r="AS20" i="49"/>
  <c r="AR20" i="49"/>
  <c r="AQ20" i="49"/>
  <c r="AP20" i="49"/>
  <c r="AN20" i="49"/>
  <c r="AX19" i="49"/>
  <c r="AW19" i="49"/>
  <c r="AV19" i="49"/>
  <c r="AU19" i="49"/>
  <c r="AT19" i="49"/>
  <c r="AS19" i="49"/>
  <c r="AR19" i="49"/>
  <c r="AQ19" i="49"/>
  <c r="AP19" i="49"/>
  <c r="AN19" i="49"/>
  <c r="AX18" i="49"/>
  <c r="AW18" i="49"/>
  <c r="AV18" i="49"/>
  <c r="AU18" i="49"/>
  <c r="AT18" i="49"/>
  <c r="AS18" i="49"/>
  <c r="AR18" i="49"/>
  <c r="AQ18" i="49"/>
  <c r="AP18" i="49"/>
  <c r="AN18" i="49"/>
  <c r="AX17" i="49"/>
  <c r="AW17" i="49"/>
  <c r="AV17" i="49"/>
  <c r="AU17" i="49"/>
  <c r="AT17" i="49"/>
  <c r="AS17" i="49"/>
  <c r="AR17" i="49"/>
  <c r="AQ17" i="49"/>
  <c r="AP17" i="49"/>
  <c r="AN17" i="49"/>
  <c r="AX16" i="49"/>
  <c r="AW16" i="49"/>
  <c r="AV16" i="49"/>
  <c r="AU16" i="49"/>
  <c r="AT16" i="49"/>
  <c r="AS16" i="49"/>
  <c r="AR16" i="49"/>
  <c r="AQ16" i="49"/>
  <c r="AP16" i="49"/>
  <c r="AN16" i="49"/>
  <c r="AX15" i="49"/>
  <c r="AW15" i="49"/>
  <c r="AV15" i="49"/>
  <c r="AU15" i="49"/>
  <c r="AT15" i="49"/>
  <c r="AS15" i="49"/>
  <c r="AR15" i="49"/>
  <c r="AQ15" i="49"/>
  <c r="AP15" i="49"/>
  <c r="AN15" i="49"/>
  <c r="AX14" i="49"/>
  <c r="AW14" i="49"/>
  <c r="AV14" i="49"/>
  <c r="AU14" i="49"/>
  <c r="AT14" i="49"/>
  <c r="AS14" i="49"/>
  <c r="AR14" i="49"/>
  <c r="AQ14" i="49"/>
  <c r="AP14" i="49"/>
  <c r="AN14" i="49"/>
  <c r="AX13" i="49"/>
  <c r="AW13" i="49"/>
  <c r="AV13" i="49"/>
  <c r="AU13" i="49"/>
  <c r="AT13" i="49"/>
  <c r="AS13" i="49"/>
  <c r="AR13" i="49"/>
  <c r="AQ13" i="49"/>
  <c r="AP13" i="49"/>
  <c r="AN13" i="49"/>
  <c r="AX12" i="49"/>
  <c r="AW12" i="49"/>
  <c r="AV12" i="49"/>
  <c r="AU12" i="49"/>
  <c r="AT12" i="49"/>
  <c r="AS12" i="49"/>
  <c r="AR12" i="49"/>
  <c r="AQ12" i="49"/>
  <c r="AP12" i="49"/>
  <c r="AN12" i="49"/>
  <c r="AX11" i="49"/>
  <c r="AW11" i="49"/>
  <c r="AV11" i="49"/>
  <c r="AU11" i="49"/>
  <c r="AT11" i="49"/>
  <c r="AS11" i="49"/>
  <c r="AR11" i="49"/>
  <c r="AQ11" i="49"/>
  <c r="AP11" i="49"/>
  <c r="AN11" i="49"/>
  <c r="AX10" i="49"/>
  <c r="AW10" i="49"/>
  <c r="AV10" i="49"/>
  <c r="AU10" i="49"/>
  <c r="AT10" i="49"/>
  <c r="AS10" i="49"/>
  <c r="AR10" i="49"/>
  <c r="AQ10" i="49"/>
  <c r="AP10" i="49"/>
  <c r="AN10" i="49"/>
  <c r="AX9" i="49"/>
  <c r="AW9" i="49"/>
  <c r="AV9" i="49"/>
  <c r="AU9" i="49"/>
  <c r="AT9" i="49"/>
  <c r="AS9" i="49"/>
  <c r="AR9" i="49"/>
  <c r="AQ9" i="49"/>
  <c r="AP9" i="49"/>
  <c r="AN9" i="49"/>
  <c r="AX8" i="49"/>
  <c r="AW8" i="49"/>
  <c r="AV8" i="49"/>
  <c r="AU8" i="49"/>
  <c r="AT8" i="49"/>
  <c r="AS8" i="49"/>
  <c r="AR8" i="49"/>
  <c r="AQ8" i="49"/>
  <c r="AP8" i="49"/>
  <c r="AN8" i="49"/>
  <c r="AX7" i="49"/>
  <c r="AW7" i="49"/>
  <c r="AV7" i="49"/>
  <c r="AU7" i="49"/>
  <c r="AT7" i="49"/>
  <c r="AS7" i="49"/>
  <c r="AR7" i="49"/>
  <c r="AQ7" i="49"/>
  <c r="AP7" i="49"/>
  <c r="AN7" i="49"/>
  <c r="H4" i="59" s="1"/>
  <c r="AY12" i="49" l="1"/>
  <c r="AY16" i="49"/>
  <c r="AY20" i="49"/>
  <c r="AY8" i="49"/>
  <c r="AY98" i="49"/>
  <c r="AY200" i="49"/>
  <c r="AY86" i="49"/>
  <c r="AY154" i="49"/>
  <c r="AY25" i="49"/>
  <c r="AY41" i="49"/>
  <c r="AY45" i="49"/>
  <c r="AY49" i="49"/>
  <c r="AY53" i="49"/>
  <c r="AY57" i="49"/>
  <c r="AY61" i="49"/>
  <c r="AY65" i="49"/>
  <c r="AY69" i="49"/>
  <c r="AY75" i="49"/>
  <c r="AY79" i="49"/>
  <c r="AY83" i="49"/>
  <c r="AY87" i="49"/>
  <c r="AY91" i="49"/>
  <c r="AY95" i="49"/>
  <c r="AY99" i="49"/>
  <c r="AY103" i="49"/>
  <c r="AY107" i="49"/>
  <c r="AY111" i="49"/>
  <c r="AY115" i="49"/>
  <c r="AY119" i="49"/>
  <c r="AY123" i="49"/>
  <c r="AY127" i="49"/>
  <c r="AY131" i="49"/>
  <c r="AY135" i="49"/>
  <c r="AY139" i="49"/>
  <c r="AY143" i="49"/>
  <c r="AY147" i="49"/>
  <c r="AY151" i="49"/>
  <c r="AY155" i="49"/>
  <c r="AY159" i="49"/>
  <c r="AY163" i="49"/>
  <c r="AY167" i="49"/>
  <c r="AY171" i="49"/>
  <c r="AY175" i="49"/>
  <c r="AY179" i="49"/>
  <c r="AY183" i="49"/>
  <c r="AY187" i="49"/>
  <c r="AY191" i="49"/>
  <c r="AY195" i="49"/>
  <c r="AY199" i="49"/>
  <c r="AY203" i="49"/>
  <c r="AY207" i="49"/>
  <c r="AY211" i="49"/>
  <c r="AY215" i="49"/>
  <c r="AY9" i="49"/>
  <c r="AY13" i="49"/>
  <c r="AY17" i="49"/>
  <c r="AY21" i="49"/>
  <c r="AY29" i="49"/>
  <c r="AY33" i="49"/>
  <c r="AY37" i="49"/>
  <c r="AY18" i="49"/>
  <c r="AY30" i="49"/>
  <c r="AY38" i="49"/>
  <c r="AY46" i="49"/>
  <c r="AY50" i="49"/>
  <c r="AY58" i="49"/>
  <c r="AY84" i="49"/>
  <c r="AY88" i="49"/>
  <c r="AY108" i="49"/>
  <c r="AY112" i="49"/>
  <c r="AY116" i="49"/>
  <c r="AY132" i="49"/>
  <c r="AY148" i="49"/>
  <c r="AY164" i="49"/>
  <c r="AY168" i="49"/>
  <c r="AY176" i="49"/>
  <c r="AY196" i="49"/>
  <c r="AY212" i="49"/>
  <c r="AY208" i="49"/>
  <c r="AY19" i="49"/>
  <c r="AY23" i="49"/>
  <c r="AY27" i="49"/>
  <c r="AY31" i="49"/>
  <c r="AY39" i="49"/>
  <c r="AY43" i="49"/>
  <c r="AY55" i="49"/>
  <c r="AY59" i="49"/>
  <c r="AY63" i="49"/>
  <c r="AY67" i="49"/>
  <c r="AY73" i="49"/>
  <c r="AY77" i="49"/>
  <c r="AY81" i="49"/>
  <c r="AY85" i="49"/>
  <c r="AY89" i="49"/>
  <c r="AY93" i="49"/>
  <c r="AY97" i="49"/>
  <c r="AY101" i="49"/>
  <c r="AY105" i="49"/>
  <c r="AY109" i="49"/>
  <c r="AY113" i="49"/>
  <c r="AY117" i="49"/>
  <c r="AY121" i="49"/>
  <c r="AY125" i="49"/>
  <c r="AY129" i="49"/>
  <c r="AY133" i="49"/>
  <c r="AY137" i="49"/>
  <c r="AY141" i="49"/>
  <c r="AY145" i="49"/>
  <c r="AY149" i="49"/>
  <c r="AY153" i="49"/>
  <c r="AY157" i="49"/>
  <c r="AY161" i="49"/>
  <c r="AY165" i="49"/>
  <c r="AY169" i="49"/>
  <c r="AY173" i="49"/>
  <c r="AY177" i="49"/>
  <c r="AY181" i="49"/>
  <c r="AY185" i="49"/>
  <c r="AY189" i="49"/>
  <c r="AY193" i="49"/>
  <c r="AY197" i="49"/>
  <c r="AY201" i="49"/>
  <c r="AY205" i="49"/>
  <c r="AY209" i="49"/>
  <c r="AY213" i="49"/>
  <c r="AY217" i="49"/>
  <c r="AY10" i="49"/>
  <c r="AY14" i="49"/>
  <c r="AY22" i="49"/>
  <c r="AY26" i="49"/>
  <c r="AY34" i="49"/>
  <c r="AY42" i="49"/>
  <c r="AY54" i="49"/>
  <c r="AY62" i="49"/>
  <c r="AY66" i="49"/>
  <c r="AY72" i="49"/>
  <c r="AY76" i="49"/>
  <c r="AY80" i="49"/>
  <c r="AY92" i="49"/>
  <c r="AY96" i="49"/>
  <c r="AY100" i="49"/>
  <c r="AY104" i="49"/>
  <c r="AY120" i="49"/>
  <c r="AY124" i="49"/>
  <c r="AY128" i="49"/>
  <c r="AY136" i="49"/>
  <c r="AY140" i="49"/>
  <c r="AY144" i="49"/>
  <c r="AY152" i="49"/>
  <c r="AY156" i="49"/>
  <c r="AY160" i="49"/>
  <c r="AY172" i="49"/>
  <c r="AY180" i="49"/>
  <c r="AY184" i="49"/>
  <c r="AY188" i="49"/>
  <c r="AY192" i="49"/>
  <c r="AY204" i="49"/>
  <c r="AY216" i="49"/>
  <c r="AY7" i="49"/>
  <c r="AY11" i="49"/>
  <c r="AY15" i="49"/>
  <c r="AY35" i="49"/>
  <c r="AY47" i="49"/>
  <c r="AY51" i="49"/>
  <c r="AG24" i="54"/>
  <c r="AH24" i="54" s="1"/>
  <c r="AG65" i="54"/>
  <c r="AH65" i="54" s="1"/>
  <c r="AG49" i="54"/>
  <c r="AH49" i="54" s="1"/>
  <c r="AG46" i="54"/>
  <c r="AH46" i="54" s="1"/>
  <c r="AG48" i="54"/>
  <c r="AH48" i="54" s="1"/>
  <c r="AG68" i="54"/>
  <c r="AH68" i="54" s="1"/>
  <c r="AG29" i="54"/>
  <c r="AH29" i="54" s="1"/>
  <c r="AG23" i="54"/>
  <c r="AH23" i="54" s="1"/>
  <c r="AG47" i="54"/>
  <c r="AH47" i="54" s="1"/>
  <c r="AG43" i="54"/>
  <c r="AH43" i="54" s="1"/>
  <c r="AG20" i="54"/>
  <c r="AH20" i="54" s="1"/>
  <c r="AG16" i="54"/>
  <c r="AH16" i="54" s="1"/>
  <c r="AG15" i="54"/>
  <c r="AH15" i="54" s="1"/>
  <c r="AG54" i="54"/>
  <c r="AH54" i="54" s="1"/>
  <c r="AG60" i="54"/>
  <c r="AH60" i="54" s="1"/>
  <c r="AG25" i="54"/>
  <c r="AH25" i="54" s="1"/>
  <c r="AG45" i="54"/>
  <c r="AH45" i="54" s="1"/>
  <c r="AG42" i="54"/>
  <c r="AH42" i="54" s="1"/>
  <c r="AG12" i="54"/>
  <c r="AH12" i="54" s="1"/>
  <c r="AG37" i="54"/>
  <c r="AH37" i="54" s="1"/>
  <c r="AG26" i="54"/>
  <c r="AH26" i="54" s="1"/>
  <c r="AG36" i="54"/>
  <c r="AH36" i="54" s="1"/>
  <c r="AG41" i="54"/>
  <c r="AH41" i="54" s="1"/>
  <c r="AG33" i="54"/>
  <c r="AH33" i="54" s="1"/>
  <c r="AG57" i="54"/>
  <c r="AH57" i="54" s="1"/>
  <c r="AG27" i="54"/>
  <c r="AH27" i="54" s="1"/>
  <c r="AG64" i="54"/>
  <c r="AH64" i="54" s="1"/>
  <c r="AG44" i="54"/>
  <c r="AH44" i="54" s="1"/>
  <c r="AG56" i="54"/>
  <c r="AH56" i="54" s="1"/>
  <c r="AG30" i="54"/>
  <c r="AH30" i="54" s="1"/>
  <c r="AG14" i="54"/>
  <c r="AH14" i="54" s="1"/>
  <c r="AG39" i="54"/>
  <c r="AH39" i="54" s="1"/>
  <c r="AG34" i="54"/>
  <c r="AH34" i="54" s="1"/>
  <c r="AG28" i="54"/>
  <c r="AH28" i="54" s="1"/>
  <c r="AG50" i="54"/>
  <c r="AH50" i="54" s="1"/>
  <c r="AG35" i="54"/>
  <c r="AH35" i="54" s="1"/>
  <c r="AG61" i="54"/>
  <c r="AH61" i="54" s="1"/>
  <c r="AG52" i="54"/>
  <c r="AH52" i="54" s="1"/>
  <c r="AG62" i="54"/>
  <c r="AH62" i="54" s="1"/>
  <c r="AG66" i="54"/>
  <c r="AH66" i="54" s="1"/>
  <c r="AG11" i="54"/>
  <c r="AH11" i="54" s="1"/>
  <c r="AG55" i="54"/>
  <c r="AH55" i="54" s="1"/>
  <c r="AG51" i="54"/>
  <c r="AH51" i="54" s="1"/>
  <c r="AG10" i="54"/>
  <c r="AH10" i="54" s="1"/>
  <c r="AG21" i="54"/>
  <c r="AH21" i="54" s="1"/>
  <c r="AG17" i="54"/>
  <c r="AH17" i="54" s="1"/>
  <c r="AG58" i="54"/>
  <c r="AH58" i="54" s="1"/>
  <c r="AG67" i="54"/>
  <c r="AH67" i="54" s="1"/>
  <c r="AG32" i="54"/>
  <c r="AH32" i="54" s="1"/>
  <c r="AG63" i="54"/>
  <c r="AH63" i="54" s="1"/>
  <c r="AG53" i="54"/>
  <c r="AH53" i="54" s="1"/>
  <c r="AG31" i="54"/>
  <c r="AH31" i="54" s="1"/>
  <c r="AG19" i="54"/>
  <c r="AH19" i="54" s="1"/>
  <c r="AG70" i="54"/>
  <c r="AH70" i="54" s="1"/>
  <c r="AG22" i="54"/>
  <c r="AH22" i="54" s="1"/>
  <c r="AG8" i="54"/>
  <c r="AH8" i="54" s="1"/>
  <c r="AG38" i="54"/>
  <c r="AH38" i="54" s="1"/>
  <c r="AG59" i="54"/>
  <c r="AH59" i="54" s="1"/>
  <c r="AG13" i="54"/>
  <c r="AH13" i="54" s="1"/>
  <c r="AG9" i="54"/>
  <c r="AH9" i="54" s="1"/>
  <c r="H6" i="59"/>
  <c r="J6" i="59" s="1"/>
  <c r="H10" i="59"/>
  <c r="J10" i="59" s="1"/>
  <c r="H14" i="59"/>
  <c r="J14" i="59" s="1"/>
  <c r="H18" i="59"/>
  <c r="J18" i="59" s="1"/>
  <c r="H22" i="59"/>
  <c r="J22" i="59" s="1"/>
  <c r="H26" i="59"/>
  <c r="J26" i="59" s="1"/>
  <c r="H30" i="59"/>
  <c r="J30" i="59" s="1"/>
  <c r="H34" i="59"/>
  <c r="J34" i="59" s="1"/>
  <c r="H38" i="59"/>
  <c r="J38" i="59" s="1"/>
  <c r="H42" i="59"/>
  <c r="J42" i="59" s="1"/>
  <c r="H46" i="59"/>
  <c r="J46" i="59" s="1"/>
  <c r="H50" i="59"/>
  <c r="J50" i="59" s="1"/>
  <c r="H54" i="59"/>
  <c r="J54" i="59" s="1"/>
  <c r="H58" i="59"/>
  <c r="J58" i="59" s="1"/>
  <c r="H62" i="59"/>
  <c r="J62" i="59" s="1"/>
  <c r="H66" i="59"/>
  <c r="J66" i="59" s="1"/>
  <c r="H7" i="59"/>
  <c r="J7" i="59" s="1"/>
  <c r="H11" i="59"/>
  <c r="J11" i="59" s="1"/>
  <c r="H15" i="59"/>
  <c r="J15" i="59" s="1"/>
  <c r="H19" i="59"/>
  <c r="J19" i="59" s="1"/>
  <c r="H23" i="59"/>
  <c r="J23" i="59" s="1"/>
  <c r="H27" i="59"/>
  <c r="J27" i="59" s="1"/>
  <c r="H31" i="59"/>
  <c r="J31" i="59" s="1"/>
  <c r="H35" i="59"/>
  <c r="J35" i="59" s="1"/>
  <c r="H39" i="59"/>
  <c r="J39" i="59" s="1"/>
  <c r="H43" i="59"/>
  <c r="J43" i="59" s="1"/>
  <c r="H47" i="59"/>
  <c r="J47" i="59" s="1"/>
  <c r="H51" i="59"/>
  <c r="J51" i="59" s="1"/>
  <c r="H55" i="59"/>
  <c r="J55" i="59" s="1"/>
  <c r="H59" i="59"/>
  <c r="J59" i="59" s="1"/>
  <c r="H63" i="59"/>
  <c r="J63" i="59" s="1"/>
  <c r="AU70" i="49"/>
  <c r="H8" i="59"/>
  <c r="J8" i="59" s="1"/>
  <c r="H12" i="59"/>
  <c r="J12" i="59" s="1"/>
  <c r="H16" i="59"/>
  <c r="J16" i="59" s="1"/>
  <c r="H20" i="59"/>
  <c r="J20" i="59" s="1"/>
  <c r="H24" i="59"/>
  <c r="J24" i="59" s="1"/>
  <c r="H28" i="59"/>
  <c r="J28" i="59" s="1"/>
  <c r="H32" i="59"/>
  <c r="J32" i="59" s="1"/>
  <c r="H36" i="59"/>
  <c r="J36" i="59" s="1"/>
  <c r="H40" i="59"/>
  <c r="J40" i="59" s="1"/>
  <c r="H44" i="59"/>
  <c r="J44" i="59" s="1"/>
  <c r="H48" i="59"/>
  <c r="J48" i="59" s="1"/>
  <c r="H52" i="59"/>
  <c r="J52" i="59" s="1"/>
  <c r="H56" i="59"/>
  <c r="J56" i="59" s="1"/>
  <c r="H60" i="59"/>
  <c r="J60" i="59" s="1"/>
  <c r="H64" i="59"/>
  <c r="J64" i="59" s="1"/>
  <c r="H5" i="59"/>
  <c r="J5" i="59" s="1"/>
  <c r="H9" i="59"/>
  <c r="J9" i="59" s="1"/>
  <c r="H13" i="59"/>
  <c r="J13" i="59" s="1"/>
  <c r="H17" i="59"/>
  <c r="J17" i="59" s="1"/>
  <c r="H21" i="59"/>
  <c r="J21" i="59" s="1"/>
  <c r="H25" i="59"/>
  <c r="J25" i="59" s="1"/>
  <c r="H29" i="59"/>
  <c r="J29" i="59" s="1"/>
  <c r="H33" i="59"/>
  <c r="J33" i="59" s="1"/>
  <c r="H37" i="59"/>
  <c r="J37" i="59" s="1"/>
  <c r="H41" i="59"/>
  <c r="J41" i="59" s="1"/>
  <c r="H45" i="59"/>
  <c r="J45" i="59" s="1"/>
  <c r="H49" i="59"/>
  <c r="J49" i="59" s="1"/>
  <c r="H53" i="59"/>
  <c r="J53" i="59" s="1"/>
  <c r="H57" i="59"/>
  <c r="J57" i="59" s="1"/>
  <c r="H61" i="59"/>
  <c r="J61" i="59" s="1"/>
  <c r="H65" i="59"/>
  <c r="J65" i="59" s="1"/>
  <c r="J4" i="59"/>
  <c r="AT70" i="49"/>
  <c r="AQ218" i="49"/>
  <c r="L71" i="11"/>
  <c r="AG82" i="54"/>
  <c r="AH82" i="54" s="1"/>
  <c r="AG91" i="54"/>
  <c r="AH91" i="54" s="1"/>
  <c r="AG98" i="54"/>
  <c r="AH98" i="54" s="1"/>
  <c r="AG75" i="54"/>
  <c r="AH75" i="54" s="1"/>
  <c r="N71" i="11"/>
  <c r="M71" i="11"/>
  <c r="G71" i="11"/>
  <c r="I71" i="11"/>
  <c r="AG146" i="54"/>
  <c r="AH146" i="54" s="1"/>
  <c r="AG104" i="54"/>
  <c r="AH104" i="54" s="1"/>
  <c r="AG145" i="54"/>
  <c r="AH145" i="54" s="1"/>
  <c r="AG193" i="54"/>
  <c r="AH193" i="54" s="1"/>
  <c r="AG144" i="54"/>
  <c r="AH144" i="54" s="1"/>
  <c r="AG69" i="54"/>
  <c r="AG199" i="54"/>
  <c r="AH199" i="54" s="1"/>
  <c r="AG110" i="54"/>
  <c r="AH110" i="54" s="1"/>
  <c r="AG166" i="54"/>
  <c r="AH166" i="54" s="1"/>
  <c r="AG117" i="54"/>
  <c r="AH117" i="54" s="1"/>
  <c r="AG213" i="54"/>
  <c r="AH213" i="54" s="1"/>
  <c r="AG196" i="54"/>
  <c r="AH196" i="54" s="1"/>
  <c r="AG147" i="54"/>
  <c r="AH147" i="54" s="1"/>
  <c r="AG106" i="54"/>
  <c r="AH106" i="54" s="1"/>
  <c r="AG109" i="54"/>
  <c r="AH109" i="54" s="1"/>
  <c r="AG170" i="54"/>
  <c r="AH170" i="54" s="1"/>
  <c r="AG212" i="54"/>
  <c r="AH212" i="54" s="1"/>
  <c r="AG198" i="54"/>
  <c r="AH198" i="54" s="1"/>
  <c r="AG173" i="54"/>
  <c r="AH173" i="54" s="1"/>
  <c r="AG153" i="54"/>
  <c r="AH153" i="54" s="1"/>
  <c r="AG129" i="54"/>
  <c r="AH129" i="54" s="1"/>
  <c r="AG218" i="54"/>
  <c r="AH218" i="54" s="1"/>
  <c r="AG197" i="54"/>
  <c r="AH197" i="54" s="1"/>
  <c r="AG94" i="54"/>
  <c r="AH94" i="54" s="1"/>
  <c r="AG214" i="54"/>
  <c r="AH214" i="54" s="1"/>
  <c r="AG155" i="54"/>
  <c r="AH155" i="54" s="1"/>
  <c r="AG186" i="54"/>
  <c r="AH186" i="54" s="1"/>
  <c r="AG175" i="54"/>
  <c r="AH175" i="54" s="1"/>
  <c r="AG96" i="54"/>
  <c r="AH96" i="54" s="1"/>
  <c r="AG202" i="54"/>
  <c r="AH202" i="54" s="1"/>
  <c r="AG180" i="54"/>
  <c r="AH180" i="54" s="1"/>
  <c r="AG76" i="54"/>
  <c r="AH76" i="54" s="1"/>
  <c r="AG81" i="54"/>
  <c r="AH81" i="54" s="1"/>
  <c r="AG169" i="54"/>
  <c r="AH169" i="54" s="1"/>
  <c r="AG141" i="54"/>
  <c r="AH141" i="54" s="1"/>
  <c r="AG188" i="54"/>
  <c r="AH188" i="54" s="1"/>
  <c r="AG187" i="54"/>
  <c r="AH187" i="54" s="1"/>
  <c r="AG100" i="54"/>
  <c r="AH100" i="54" s="1"/>
  <c r="AG111" i="54"/>
  <c r="AH111" i="54" s="1"/>
  <c r="AG189" i="54"/>
  <c r="AH189" i="54" s="1"/>
  <c r="AG179" i="54"/>
  <c r="AH179" i="54" s="1"/>
  <c r="AG215" i="54"/>
  <c r="AH215" i="54" s="1"/>
  <c r="AG184" i="54"/>
  <c r="AH184" i="54" s="1"/>
  <c r="AG190" i="54"/>
  <c r="AH190" i="54" s="1"/>
  <c r="AG78" i="54"/>
  <c r="AH78" i="54" s="1"/>
  <c r="AG200" i="54"/>
  <c r="AH200" i="54" s="1"/>
  <c r="AG115" i="54"/>
  <c r="AH115" i="54" s="1"/>
  <c r="AG204" i="54"/>
  <c r="AH204" i="54" s="1"/>
  <c r="AG74" i="54"/>
  <c r="AH74" i="54" s="1"/>
  <c r="U220" i="54"/>
  <c r="U222" i="54" s="1"/>
  <c r="W220" i="54"/>
  <c r="W222" i="54" s="1"/>
  <c r="V220" i="54"/>
  <c r="V222" i="54" s="1"/>
  <c r="AR218" i="49"/>
  <c r="AS218" i="49"/>
  <c r="AT218" i="49"/>
  <c r="AU218" i="49"/>
  <c r="AV218" i="49"/>
  <c r="AN218" i="49"/>
  <c r="AW218" i="49"/>
  <c r="AP218" i="49"/>
  <c r="AX218" i="49"/>
  <c r="AP70" i="49"/>
  <c r="AX70" i="49"/>
  <c r="AQ70" i="49"/>
  <c r="AW70" i="49"/>
  <c r="AR70" i="49"/>
  <c r="AS70" i="49"/>
  <c r="AV70" i="49"/>
  <c r="AN70" i="49"/>
  <c r="D6" i="11"/>
  <c r="AY218" i="49" l="1"/>
  <c r="AU220" i="49"/>
  <c r="AG72" i="54"/>
  <c r="AH69" i="54"/>
  <c r="AX220" i="49"/>
  <c r="AR220" i="49"/>
  <c r="AN220" i="49"/>
  <c r="AQ220" i="49"/>
  <c r="AY70" i="49"/>
  <c r="AY220" i="49" s="1"/>
  <c r="J67" i="59"/>
  <c r="H67" i="59"/>
  <c r="AT220" i="49"/>
  <c r="AW220" i="49"/>
  <c r="AS220" i="49"/>
  <c r="AP220" i="49"/>
  <c r="J71" i="11"/>
  <c r="AG87" i="54"/>
  <c r="AH87" i="54" s="1"/>
  <c r="K71" i="11"/>
  <c r="AG176" i="54"/>
  <c r="AH176" i="54" s="1"/>
  <c r="AG174" i="54"/>
  <c r="AH174" i="54" s="1"/>
  <c r="AG164" i="54"/>
  <c r="AH164" i="54" s="1"/>
  <c r="AG134" i="54"/>
  <c r="AH134" i="54" s="1"/>
  <c r="AG113" i="54"/>
  <c r="AH113" i="54" s="1"/>
  <c r="AG161" i="54"/>
  <c r="AH161" i="54" s="1"/>
  <c r="AG205" i="54"/>
  <c r="AH205" i="54" s="1"/>
  <c r="AG89" i="54"/>
  <c r="AH89" i="54" s="1"/>
  <c r="AG177" i="54"/>
  <c r="AH177" i="54" s="1"/>
  <c r="AG165" i="54"/>
  <c r="AH165" i="54" s="1"/>
  <c r="AG123" i="54"/>
  <c r="AH123" i="54" s="1"/>
  <c r="AG178" i="54"/>
  <c r="AH178" i="54" s="1"/>
  <c r="AG167" i="54"/>
  <c r="AH167" i="54" s="1"/>
  <c r="AG217" i="54"/>
  <c r="AH217" i="54" s="1"/>
  <c r="P71" i="11"/>
  <c r="AG183" i="54"/>
  <c r="AH183" i="54" s="1"/>
  <c r="AG95" i="54"/>
  <c r="AH95" i="54" s="1"/>
  <c r="H71" i="11"/>
  <c r="AG142" i="54"/>
  <c r="AH142" i="54" s="1"/>
  <c r="AG121" i="54"/>
  <c r="AH121" i="54" s="1"/>
  <c r="AG157" i="54"/>
  <c r="AH157" i="54" s="1"/>
  <c r="AG159" i="54"/>
  <c r="AH159" i="54" s="1"/>
  <c r="AE220" i="54"/>
  <c r="AE222" i="54" s="1"/>
  <c r="AG105" i="54"/>
  <c r="AH105" i="54" s="1"/>
  <c r="AG210" i="54"/>
  <c r="AH210" i="54" s="1"/>
  <c r="AG191" i="54"/>
  <c r="AH191" i="54" s="1"/>
  <c r="AG135" i="54"/>
  <c r="AH135" i="54" s="1"/>
  <c r="AG102" i="54"/>
  <c r="AH102" i="54" s="1"/>
  <c r="AG216" i="54"/>
  <c r="AH216" i="54" s="1"/>
  <c r="AG118" i="54"/>
  <c r="AH118" i="54" s="1"/>
  <c r="AG112" i="54"/>
  <c r="AH112" i="54" s="1"/>
  <c r="AG108" i="54"/>
  <c r="AH108" i="54" s="1"/>
  <c r="AG201" i="54"/>
  <c r="AH201" i="54" s="1"/>
  <c r="AG80" i="54"/>
  <c r="AH80" i="54" s="1"/>
  <c r="AG181" i="54"/>
  <c r="AH181" i="54" s="1"/>
  <c r="AG125" i="54"/>
  <c r="AH125" i="54" s="1"/>
  <c r="AC220" i="54"/>
  <c r="AC222" i="54" s="1"/>
  <c r="AG149" i="54"/>
  <c r="AH149" i="54" s="1"/>
  <c r="AG122" i="54"/>
  <c r="AH122" i="54" s="1"/>
  <c r="AG154" i="54"/>
  <c r="AH154" i="54" s="1"/>
  <c r="AG88" i="54"/>
  <c r="AH88" i="54" s="1"/>
  <c r="AG136" i="54"/>
  <c r="AH136" i="54" s="1"/>
  <c r="AG208" i="54"/>
  <c r="AH208" i="54" s="1"/>
  <c r="AG131" i="54"/>
  <c r="AH131" i="54" s="1"/>
  <c r="AG150" i="54"/>
  <c r="AH150" i="54" s="1"/>
  <c r="AA220" i="54"/>
  <c r="AA222" i="54" s="1"/>
  <c r="AG172" i="54"/>
  <c r="AH172" i="54" s="1"/>
  <c r="AG77" i="54"/>
  <c r="AH77" i="54" s="1"/>
  <c r="AG163" i="54"/>
  <c r="AH163" i="54" s="1"/>
  <c r="AG137" i="54"/>
  <c r="AH137" i="54" s="1"/>
  <c r="AG207" i="54"/>
  <c r="AH207" i="54" s="1"/>
  <c r="AG133" i="54"/>
  <c r="AH133" i="54" s="1"/>
  <c r="AG152" i="54"/>
  <c r="AH152" i="54" s="1"/>
  <c r="AG140" i="54"/>
  <c r="AH140" i="54" s="1"/>
  <c r="AG132" i="54"/>
  <c r="AH132" i="54" s="1"/>
  <c r="AG185" i="54"/>
  <c r="AH185" i="54" s="1"/>
  <c r="AD220" i="54"/>
  <c r="AD222" i="54" s="1"/>
  <c r="AG158" i="54"/>
  <c r="AH158" i="54" s="1"/>
  <c r="AG192" i="54"/>
  <c r="AH192" i="54" s="1"/>
  <c r="AG195" i="54"/>
  <c r="AH195" i="54" s="1"/>
  <c r="AG130" i="54"/>
  <c r="AH130" i="54" s="1"/>
  <c r="AG79" i="54"/>
  <c r="AH79" i="54" s="1"/>
  <c r="AG85" i="54"/>
  <c r="AH85" i="54" s="1"/>
  <c r="AG92" i="54"/>
  <c r="AH92" i="54" s="1"/>
  <c r="AG143" i="54"/>
  <c r="AH143" i="54" s="1"/>
  <c r="AF220" i="54"/>
  <c r="AF222" i="54" s="1"/>
  <c r="AG162" i="54"/>
  <c r="AH162" i="54" s="1"/>
  <c r="AG203" i="54"/>
  <c r="AH203" i="54" s="1"/>
  <c r="AG160" i="54"/>
  <c r="AH160" i="54" s="1"/>
  <c r="AG120" i="54"/>
  <c r="AH120" i="54" s="1"/>
  <c r="AG139" i="54"/>
  <c r="AH139" i="54" s="1"/>
  <c r="AG97" i="54"/>
  <c r="AH97" i="54" s="1"/>
  <c r="AG168" i="54"/>
  <c r="AH168" i="54" s="1"/>
  <c r="AB220" i="54"/>
  <c r="AB222" i="54" s="1"/>
  <c r="AG156" i="54"/>
  <c r="AH156" i="54" s="1"/>
  <c r="AG219" i="54"/>
  <c r="AH219" i="54" s="1"/>
  <c r="AG124" i="54"/>
  <c r="AH124" i="54" s="1"/>
  <c r="AG114" i="54"/>
  <c r="AH114" i="54" s="1"/>
  <c r="AG107" i="54"/>
  <c r="AH107" i="54" s="1"/>
  <c r="AG99" i="54"/>
  <c r="AH99" i="54" s="1"/>
  <c r="AG103" i="54"/>
  <c r="AH103" i="54" s="1"/>
  <c r="AG119" i="54"/>
  <c r="AH119" i="54" s="1"/>
  <c r="AG116" i="54"/>
  <c r="AH116" i="54" s="1"/>
  <c r="AG128" i="54"/>
  <c r="AH128" i="54" s="1"/>
  <c r="AG71" i="54"/>
  <c r="AH71" i="54" s="1"/>
  <c r="AG151" i="54"/>
  <c r="AH151" i="54" s="1"/>
  <c r="AG127" i="54"/>
  <c r="AH127" i="54" s="1"/>
  <c r="AG148" i="54"/>
  <c r="AH148" i="54" s="1"/>
  <c r="AG138" i="54"/>
  <c r="AH138" i="54" s="1"/>
  <c r="AG101" i="54"/>
  <c r="AH101" i="54" s="1"/>
  <c r="AG211" i="54"/>
  <c r="AH211" i="54" s="1"/>
  <c r="AG182" i="54"/>
  <c r="AH182" i="54" s="1"/>
  <c r="AG86" i="54"/>
  <c r="AH86" i="54" s="1"/>
  <c r="AG194" i="54"/>
  <c r="AH194" i="54" s="1"/>
  <c r="AG126" i="54"/>
  <c r="AH126" i="54" s="1"/>
  <c r="AG84" i="54"/>
  <c r="AH84" i="54" s="1"/>
  <c r="AG171" i="54"/>
  <c r="AH171" i="54" s="1"/>
  <c r="Y220" i="54"/>
  <c r="Y222" i="54" s="1"/>
  <c r="O71" i="11"/>
  <c r="X220" i="54"/>
  <c r="X222" i="54" s="1"/>
  <c r="Z220" i="54"/>
  <c r="Z222" i="54" s="1"/>
  <c r="AG93" i="54"/>
  <c r="AH93" i="54" s="1"/>
  <c r="AG209" i="54"/>
  <c r="AH209" i="54" s="1"/>
  <c r="AV220" i="49"/>
  <c r="Q108" i="11"/>
  <c r="AH220" i="54" l="1"/>
  <c r="AH222" i="54"/>
  <c r="AG222" i="54"/>
  <c r="AG220" i="54"/>
  <c r="O22" i="46" l="1"/>
  <c r="N22" i="46"/>
  <c r="M22" i="46"/>
  <c r="L22" i="46"/>
  <c r="K22" i="46"/>
  <c r="J22" i="46"/>
  <c r="I22" i="46"/>
  <c r="H22" i="46"/>
  <c r="G22" i="46"/>
  <c r="F22" i="46"/>
  <c r="E22" i="46"/>
  <c r="D22" i="46"/>
  <c r="P21" i="46"/>
  <c r="P20" i="46"/>
  <c r="P19" i="46"/>
  <c r="P18" i="46"/>
  <c r="P17" i="46"/>
  <c r="P16" i="46"/>
  <c r="P15" i="46"/>
  <c r="P14" i="46"/>
  <c r="P13" i="46"/>
  <c r="P12" i="46"/>
  <c r="P11" i="46"/>
  <c r="P10" i="46"/>
  <c r="P9" i="46"/>
  <c r="P8" i="46"/>
  <c r="P7" i="46"/>
  <c r="P6" i="46"/>
  <c r="P5" i="46"/>
  <c r="P22" i="46" s="1"/>
  <c r="R64" i="11"/>
  <c r="D64" i="11"/>
  <c r="D52" i="11"/>
  <c r="S101" i="11"/>
  <c r="S86" i="11"/>
  <c r="S93" i="11"/>
  <c r="S92" i="11"/>
  <c r="S91" i="11"/>
  <c r="S90" i="11"/>
  <c r="S89" i="11"/>
  <c r="S81" i="11"/>
  <c r="S96" i="11"/>
  <c r="S88" i="11"/>
  <c r="S98" i="11"/>
  <c r="S87" i="11"/>
  <c r="R71" i="11"/>
  <c r="S71" i="11" s="1"/>
  <c r="E134" i="11" l="1"/>
  <c r="E135" i="11"/>
  <c r="E120" i="11"/>
  <c r="P103" i="11"/>
  <c r="O103" i="11"/>
  <c r="N103" i="11"/>
  <c r="M103" i="11"/>
  <c r="L103" i="11"/>
  <c r="K103" i="11"/>
  <c r="J103" i="11"/>
  <c r="I103" i="11"/>
  <c r="H103" i="11"/>
  <c r="G103" i="11"/>
  <c r="R102" i="11"/>
  <c r="Q28" i="11" l="1"/>
  <c r="P6" i="42" l="1"/>
  <c r="P7" i="42"/>
  <c r="P8" i="42"/>
  <c r="P9" i="42"/>
  <c r="P10" i="42"/>
  <c r="P11" i="42"/>
  <c r="P12" i="42"/>
  <c r="P13" i="42"/>
  <c r="P14" i="42"/>
  <c r="P15" i="42"/>
  <c r="P16" i="42"/>
  <c r="P17" i="42"/>
  <c r="P18" i="42"/>
  <c r="P19" i="42"/>
  <c r="P20" i="42"/>
  <c r="P21" i="42"/>
  <c r="P5" i="42"/>
  <c r="E22" i="42"/>
  <c r="F22" i="42"/>
  <c r="G22" i="42"/>
  <c r="H22" i="42"/>
  <c r="I22" i="42"/>
  <c r="J22" i="42"/>
  <c r="K22" i="42"/>
  <c r="L22" i="42"/>
  <c r="M22" i="42"/>
  <c r="N22" i="42"/>
  <c r="O22" i="42"/>
  <c r="D22" i="42"/>
  <c r="P22" i="42" l="1"/>
  <c r="E125" i="11" l="1"/>
  <c r="E126" i="11" l="1"/>
  <c r="R103" i="11" l="1"/>
  <c r="E123" i="11" l="1"/>
  <c r="E124" i="11" l="1"/>
  <c r="F64" i="11" l="1"/>
  <c r="F69" i="11" s="1"/>
  <c r="S65" i="11"/>
  <c r="E64" i="11" l="1"/>
  <c r="E133" i="11"/>
  <c r="P104" i="11" l="1"/>
  <c r="L104" i="11"/>
  <c r="M104" i="11"/>
  <c r="K104" i="11"/>
  <c r="J104" i="11"/>
  <c r="H104" i="11"/>
  <c r="O104" i="11"/>
  <c r="N104" i="11"/>
  <c r="G104" i="11" l="1"/>
  <c r="I104" i="11"/>
  <c r="E136" i="11" l="1"/>
  <c r="S100" i="11" l="1"/>
  <c r="Q26" i="11"/>
  <c r="S97" i="11"/>
  <c r="E128" i="11"/>
  <c r="S94" i="11"/>
  <c r="E130" i="11"/>
  <c r="E131" i="11"/>
  <c r="E121" i="11"/>
  <c r="Q24" i="11"/>
  <c r="Q27" i="11"/>
  <c r="Q23" i="11"/>
  <c r="Q25" i="11"/>
  <c r="Q22" i="11"/>
  <c r="Q14" i="11"/>
  <c r="S66" i="11"/>
  <c r="S67" i="11"/>
  <c r="E103" i="11" l="1"/>
  <c r="S103" i="11" s="1"/>
  <c r="S49" i="11"/>
  <c r="S52" i="11" s="1"/>
  <c r="S59" i="11"/>
  <c r="S60" i="11"/>
  <c r="S63" i="11"/>
  <c r="S62" i="11"/>
  <c r="S57" i="11"/>
  <c r="S102" i="11"/>
  <c r="E129" i="11"/>
  <c r="E127" i="11"/>
  <c r="Q17" i="11"/>
  <c r="Q21" i="11"/>
  <c r="Q18" i="11"/>
  <c r="H64" i="11"/>
  <c r="H69" i="11" s="1"/>
  <c r="J64" i="11"/>
  <c r="J69" i="11" s="1"/>
  <c r="L64" i="11"/>
  <c r="L69" i="11" s="1"/>
  <c r="O64" i="11"/>
  <c r="O69" i="11" s="1"/>
  <c r="I64" i="11"/>
  <c r="I69" i="11" s="1"/>
  <c r="M64" i="11"/>
  <c r="M69" i="11" s="1"/>
  <c r="N64" i="11"/>
  <c r="N69" i="11" s="1"/>
  <c r="G64" i="11"/>
  <c r="K64" i="11"/>
  <c r="K69" i="11" s="1"/>
  <c r="Q15" i="11"/>
  <c r="Q64" i="11" l="1"/>
  <c r="E104" i="11"/>
  <c r="G69" i="11"/>
  <c r="S55" i="11"/>
  <c r="P64" i="11"/>
  <c r="P69" i="11" s="1"/>
  <c r="S53" i="11"/>
  <c r="E69" i="11"/>
  <c r="E132" i="11"/>
  <c r="Q19" i="11"/>
  <c r="Q69" i="11" l="1"/>
  <c r="Q29" i="11"/>
  <c r="Q35" i="11" s="1"/>
  <c r="Q52" i="11"/>
  <c r="S54" i="11" l="1"/>
  <c r="S64" i="11"/>
  <c r="E122" i="11"/>
  <c r="S69" i="11" l="1"/>
  <c r="F104" i="11"/>
  <c r="Q71" i="11"/>
  <c r="Q103" i="11" l="1"/>
  <c r="Q104" i="11" s="1"/>
  <c r="S104" i="11" s="1"/>
  <c r="F29" i="11" l="1"/>
  <c r="F35" i="11" s="1"/>
  <c r="E29" i="11"/>
  <c r="E35" i="11" s="1"/>
  <c r="L29" i="11"/>
  <c r="L35" i="11" s="1"/>
  <c r="H35" i="11"/>
  <c r="G29" i="11"/>
  <c r="G35" i="11" s="1"/>
  <c r="O29" i="11"/>
  <c r="O35" i="11" s="1"/>
  <c r="N29" i="11"/>
  <c r="N35" i="11" s="1"/>
  <c r="K29" i="11"/>
  <c r="K35" i="11" s="1"/>
  <c r="J29" i="11"/>
  <c r="J35" i="11" s="1"/>
  <c r="P29" i="11"/>
  <c r="P35" i="11" s="1"/>
  <c r="M29" i="11"/>
  <c r="M35" i="11" s="1"/>
  <c r="I29" i="11"/>
  <c r="I35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Harmanjot Kaur</author>
  </authors>
  <commentList>
    <comment ref="D12" authorId="0" shapeId="0" xr:uid="{4BAEB34A-3FCB-45DA-ABE9-91607C3120F0}">
      <text>
        <r>
          <rPr>
            <b/>
            <sz val="9"/>
            <color indexed="81"/>
            <rFont val="Tahoma"/>
            <family val="2"/>
          </rPr>
          <t>Harmanjot Kaur:</t>
        </r>
        <r>
          <rPr>
            <sz val="9"/>
            <color indexed="81"/>
            <rFont val="Tahoma"/>
            <family val="2"/>
          </rPr>
          <t xml:space="preserve">
8020046868 (by VF in FY 24-25 P1)/(8020046867 by VF in FY 23-24 P13) &amp; 8020046631 (by AA in FY 23-24 P12)</t>
        </r>
      </text>
    </comment>
    <comment ref="D13" authorId="0" shapeId="0" xr:uid="{5EDDBC17-9783-4232-B153-7A9ED89FD2D9}">
      <text>
        <r>
          <rPr>
            <b/>
            <sz val="9"/>
            <color indexed="81"/>
            <rFont val="Tahoma"/>
            <family val="2"/>
          </rPr>
          <t>Harmanjot Kaur:</t>
        </r>
        <r>
          <rPr>
            <sz val="9"/>
            <color indexed="81"/>
            <rFont val="Tahoma"/>
            <family val="2"/>
          </rPr>
          <t xml:space="preserve">
8020046868 (by VF in FY 24-25 P1)/(8020046867 by VF in FY 23-24 P13) &amp; 8020046630 (by AA in FY 23-24 P12)</t>
        </r>
      </text>
    </comment>
  </commentList>
</comments>
</file>

<file path=xl/sharedStrings.xml><?xml version="1.0" encoding="utf-8"?>
<sst xmlns="http://schemas.openxmlformats.org/spreadsheetml/2006/main" count="13651" uniqueCount="1227">
  <si>
    <t>DfE #</t>
  </si>
  <si>
    <t>Cost centre</t>
  </si>
  <si>
    <t>School</t>
  </si>
  <si>
    <t>0000</t>
  </si>
  <si>
    <t>Select School</t>
  </si>
  <si>
    <t>Primary</t>
  </si>
  <si>
    <t>Secondary</t>
  </si>
  <si>
    <t>URN</t>
  </si>
  <si>
    <t>LAESTAB</t>
  </si>
  <si>
    <t>School Name</t>
  </si>
  <si>
    <t>Basic Entitlement (Primary)</t>
  </si>
  <si>
    <t>Basic Entitlement (KS3)</t>
  </si>
  <si>
    <t>Basic Entitlement (KS4)</t>
  </si>
  <si>
    <t>IDACI (P F)</t>
  </si>
  <si>
    <t>IDACI (P E)</t>
  </si>
  <si>
    <t>IDACI (P D)</t>
  </si>
  <si>
    <t>IDACI (P C)</t>
  </si>
  <si>
    <t>IDACI (P B)</t>
  </si>
  <si>
    <t>IDACI (P A)</t>
  </si>
  <si>
    <t>IDACI (S F)</t>
  </si>
  <si>
    <t>IDACI (S E)</t>
  </si>
  <si>
    <t>IDACI (S D)</t>
  </si>
  <si>
    <t>IDACI (S C)</t>
  </si>
  <si>
    <t>IDACI (S B)</t>
  </si>
  <si>
    <t>IDACI (S A)</t>
  </si>
  <si>
    <t>EAL (P)</t>
  </si>
  <si>
    <t>EAL (S)</t>
  </si>
  <si>
    <t>Mobility (P)</t>
  </si>
  <si>
    <t>Mobility (S)</t>
  </si>
  <si>
    <t>Lump Sum</t>
  </si>
  <si>
    <t>Sparsity Funding</t>
  </si>
  <si>
    <t>London Fringe</t>
  </si>
  <si>
    <t>Split Sites</t>
  </si>
  <si>
    <t>Rates</t>
  </si>
  <si>
    <t>PFI</t>
  </si>
  <si>
    <t>Basic Entitlement Total</t>
  </si>
  <si>
    <t>AEN Total</t>
  </si>
  <si>
    <t>School Factors total</t>
  </si>
  <si>
    <t>Notional SEN Budget</t>
  </si>
  <si>
    <t>Total Allocation</t>
  </si>
  <si>
    <t>Primary Funding</t>
  </si>
  <si>
    <t>Secondary Funding</t>
  </si>
  <si>
    <t>MFG % change</t>
  </si>
  <si>
    <t>MFG Value adjustment</t>
  </si>
  <si>
    <t>De-delegation</t>
  </si>
  <si>
    <t>Post De-delegation budget</t>
  </si>
  <si>
    <t>Education functions for maintained schools</t>
  </si>
  <si>
    <t>Post De-delegation and Education functions budget</t>
  </si>
  <si>
    <t>Total</t>
  </si>
  <si>
    <t>High Needs</t>
  </si>
  <si>
    <t>DfE Number</t>
  </si>
  <si>
    <t>Cost Centre</t>
  </si>
  <si>
    <t>Schools Name</t>
  </si>
  <si>
    <t xml:space="preserve">LA Confirmed Funding Allocations: </t>
  </si>
  <si>
    <t>Total LA Funding</t>
  </si>
  <si>
    <t>Estimated funding to be paid to the school</t>
  </si>
  <si>
    <t>* Updated high needs and early years funding allocations based on actual numbers</t>
  </si>
  <si>
    <t>2. Estimated Monthly School Budget Payment Schedule</t>
  </si>
  <si>
    <t>CFR code</t>
  </si>
  <si>
    <t>Estimated</t>
  </si>
  <si>
    <t>final adj</t>
  </si>
  <si>
    <t>I01</t>
  </si>
  <si>
    <t>I02</t>
  </si>
  <si>
    <t>Indicative High Needs Top up Funding*</t>
  </si>
  <si>
    <t>I03</t>
  </si>
  <si>
    <t>E01 - E07</t>
  </si>
  <si>
    <t xml:space="preserve">       </t>
  </si>
  <si>
    <t>Growth Funding</t>
  </si>
  <si>
    <t>Actual</t>
  </si>
  <si>
    <t>Pupil Premium Funding (To be confirmed by DfE/EFA)</t>
  </si>
  <si>
    <t>PE and Sports Grant (To be confirmed by DfE/EFA)</t>
  </si>
  <si>
    <t>Total Other Confirmed Funding Allocations</t>
  </si>
  <si>
    <t>Devolved Formula Capital (To be confirmed by DfE/EFA)</t>
  </si>
  <si>
    <t>Please note that the payment schedule will be updated to reflect:</t>
  </si>
  <si>
    <t/>
  </si>
  <si>
    <t>NNDR</t>
  </si>
  <si>
    <t>GRANTS</t>
  </si>
  <si>
    <t>Schools Direct</t>
  </si>
  <si>
    <t>16-19 Bursery Fund</t>
  </si>
  <si>
    <t>I05</t>
  </si>
  <si>
    <t>I06</t>
  </si>
  <si>
    <t>CI01</t>
  </si>
  <si>
    <t>3. One off payments outside of schedule</t>
  </si>
  <si>
    <t xml:space="preserve">Actual </t>
  </si>
  <si>
    <t xml:space="preserve"> </t>
  </si>
  <si>
    <t>Minimum per pupil funding: minimum per pupil rate</t>
  </si>
  <si>
    <t>Minimum per pupil funding: minimum funding level</t>
  </si>
  <si>
    <t>Minimum per pupil funding: additional funding to meet the primary minimum funding level</t>
  </si>
  <si>
    <t>Minimum per pupil funding: additional funding to meet the secondary minimum funding level</t>
  </si>
  <si>
    <t>Total allocation including minimum funding level adjustment</t>
  </si>
  <si>
    <t>Minimum per pupil funding: post MFG minimum funding per pupil rate</t>
  </si>
  <si>
    <t>Minimum per pupil funding: per pupil rate is greater than or equal to the minimum entered on the Proforma sheet?</t>
  </si>
  <si>
    <t>Y</t>
  </si>
  <si>
    <t>E27</t>
  </si>
  <si>
    <t xml:space="preserve">Total </t>
  </si>
  <si>
    <t>Low Prior Attainment (P)</t>
  </si>
  <si>
    <t>Low Prior Attainment (S)</t>
  </si>
  <si>
    <t>Minimum per pupil funding: adjusted total allocation (excluding premises costs)</t>
  </si>
  <si>
    <t>Minimum allocation after capping/scaling</t>
  </si>
  <si>
    <t>NOR (from Adjusted Factors column O)</t>
  </si>
  <si>
    <t>NOR Primary (from Adjusted Factors column P)</t>
  </si>
  <si>
    <t>NOR Secondary (from Adjusted Factors column S)</t>
  </si>
  <si>
    <t>Free School Meals (Primary)</t>
  </si>
  <si>
    <t>Free School Meals (Secondary)</t>
  </si>
  <si>
    <t>Free School Meals Ever 6 (Primary)</t>
  </si>
  <si>
    <t>Free School Meals Ever 6 (Secondary)</t>
  </si>
  <si>
    <t>Year on year % Change</t>
  </si>
  <si>
    <t>23-24 MFG Unit Value</t>
  </si>
  <si>
    <t xml:space="preserve">NNDR </t>
  </si>
  <si>
    <t>E17</t>
  </si>
  <si>
    <t>CFR Code</t>
  </si>
  <si>
    <t>I18D</t>
  </si>
  <si>
    <t>I18C</t>
  </si>
  <si>
    <t>I18B</t>
  </si>
  <si>
    <t>Total to date</t>
  </si>
  <si>
    <t xml:space="preserve">Totals PER CFR </t>
  </si>
  <si>
    <t>Funds delegated by the local authority (LA)</t>
  </si>
  <si>
    <t>Funding for sixth form students</t>
  </si>
  <si>
    <t>High needs top-up funding</t>
  </si>
  <si>
    <t>Pupil Premium</t>
  </si>
  <si>
    <t>Other government grants</t>
  </si>
  <si>
    <t>Income from the DfE grant scheme for reimbursing exceptional costs</t>
  </si>
  <si>
    <t>income from the COVID-19 catch-up</t>
  </si>
  <si>
    <t>Income from other additional grants</t>
  </si>
  <si>
    <t>Capital Income</t>
  </si>
  <si>
    <t>Various Staffing expenditure CFR (Salaries)</t>
  </si>
  <si>
    <t>Other insurance premiums(RPA)</t>
  </si>
  <si>
    <t>E23</t>
  </si>
  <si>
    <t>Bought-in professional services - curriculum(De-Delegation and ESG)</t>
  </si>
  <si>
    <t>Mainstream Schools Additional Grant</t>
  </si>
  <si>
    <t>Teaches' Pension Employer Contribution Grant</t>
  </si>
  <si>
    <t>National Professional Qualifications</t>
  </si>
  <si>
    <t>Early Career Framework Mentor time off timetable</t>
  </si>
  <si>
    <t>SSF Advanced Maths Premium</t>
  </si>
  <si>
    <t>Early Career Mentor backfill grant</t>
  </si>
  <si>
    <t>Teachers' pay additional grant</t>
  </si>
  <si>
    <t>I07</t>
  </si>
  <si>
    <t>Mayor’s Universal Free School Meals</t>
  </si>
  <si>
    <t xml:space="preserve">PPQ1 and Q2 adjustment </t>
  </si>
  <si>
    <t>16-19 Bursary 2024-25</t>
  </si>
  <si>
    <t>PPQ3 2024-25</t>
  </si>
  <si>
    <t>PPQ4 2024-25</t>
  </si>
  <si>
    <t xml:space="preserve">National Professional Qualifications June 24 </t>
  </si>
  <si>
    <t xml:space="preserve">National Professional Qualifications October 24 </t>
  </si>
  <si>
    <t>Senior Mental Health Leads Training Dec 24</t>
  </si>
  <si>
    <t>Recovery Premium Dec 24</t>
  </si>
  <si>
    <t>National Tutoring Programme Dec 24</t>
  </si>
  <si>
    <t>Teachers Pension Grant May 24</t>
  </si>
  <si>
    <t>PE &amp; SPORTS October 24</t>
  </si>
  <si>
    <t>Teachers Pension Grant October 24</t>
  </si>
  <si>
    <t>Teachers Pay Additional Grant October 24</t>
  </si>
  <si>
    <t>Recovery Premium March 25</t>
  </si>
  <si>
    <t>Teachers Pay Additional Grant Feb 25</t>
  </si>
  <si>
    <t>Mainstream School Additional Grant Feb 25</t>
  </si>
  <si>
    <t>Wexham Court Primary School</t>
  </si>
  <si>
    <t>Penn Wood Primary and Nursery School</t>
  </si>
  <si>
    <t>Claycots School</t>
  </si>
  <si>
    <t>St Mary's Church of England Primary School</t>
  </si>
  <si>
    <t>Our Lady of Peace Catholic Primary and Nursery School</t>
  </si>
  <si>
    <t>Iqra Slough Islamic Primary School</t>
  </si>
  <si>
    <t>Priory School</t>
  </si>
  <si>
    <t>Holy Family Catholic Primary School</t>
  </si>
  <si>
    <t>Pippins School</t>
  </si>
  <si>
    <t>Wexham School</t>
  </si>
  <si>
    <t>St Bernard's Catholic Grammar School</t>
  </si>
  <si>
    <t>24-25 Approved Exceptional Circumstance 1: Reserved for Additional lump sum for schools amalgamated during FY23-24</t>
  </si>
  <si>
    <t>24-25 Approved Exceptional Circumstance 2: Reserved for additional sparsity lump sum</t>
  </si>
  <si>
    <t>24-25 Approved Exceptional Circumstance 3</t>
  </si>
  <si>
    <t>24-25 Approved Exceptional Circumstance 4</t>
  </si>
  <si>
    <t>24-25 Approved Exceptional Circumstance 5</t>
  </si>
  <si>
    <t>24-25 Approved Exceptional Circumstance 6</t>
  </si>
  <si>
    <t>24-25 Approved Exceptional Circumstance 7</t>
  </si>
  <si>
    <t>24-25 MFG budget using minimum funding level</t>
  </si>
  <si>
    <t>24-25 MFG Budget</t>
  </si>
  <si>
    <t>24-25 MFG Unit Value</t>
  </si>
  <si>
    <t>24-25 MFG Adjustment</t>
  </si>
  <si>
    <t>24-25 Post MFG Budget</t>
  </si>
  <si>
    <t>24-25 Post MFG per pupil Budget</t>
  </si>
  <si>
    <t>24-25 NFF NNDR allocation</t>
  </si>
  <si>
    <t>Post De-delegation and Education functions budget after deduction of 24-25 NFF NNDR allocation</t>
  </si>
  <si>
    <t>Nursery</t>
  </si>
  <si>
    <t xml:space="preserve">Baylis Court Nursery School </t>
  </si>
  <si>
    <t xml:space="preserve">Chalvey Nursery School </t>
  </si>
  <si>
    <t xml:space="preserve">Cippenham Nursery School </t>
  </si>
  <si>
    <t xml:space="preserve">Lea Nursery School </t>
  </si>
  <si>
    <t xml:space="preserve">Slough Centre Nursery School </t>
  </si>
  <si>
    <t>2024/25 ISB</t>
  </si>
  <si>
    <t>EY 2 YO</t>
  </si>
  <si>
    <t>EY Deprivation</t>
  </si>
  <si>
    <t>EY EYPP</t>
  </si>
  <si>
    <t>DAF</t>
  </si>
  <si>
    <t>Total per school</t>
  </si>
  <si>
    <t>Senior Mental Health Leads Training Fy 24-25</t>
  </si>
  <si>
    <t>High Needs Place Funding</t>
  </si>
  <si>
    <t xml:space="preserve">Schools block budget share </t>
  </si>
  <si>
    <t>1. 2024/25 LA STATEMENT OF FUNDING</t>
  </si>
  <si>
    <t>LA Capital income one off payment</t>
  </si>
  <si>
    <t>**Actual 2024-25 salary costs</t>
  </si>
  <si>
    <t>Feb 25 Adjustments</t>
  </si>
  <si>
    <t>Jan 25 Adjustments</t>
  </si>
  <si>
    <t>Nov 24 Adjustments</t>
  </si>
  <si>
    <t>Dec 24 Adjustments</t>
  </si>
  <si>
    <t>Oct 24 Adjustments</t>
  </si>
  <si>
    <t>Sept 24 Adjustments</t>
  </si>
  <si>
    <t>May 24 Adjustments</t>
  </si>
  <si>
    <t>NNDR 2024/25</t>
  </si>
  <si>
    <t>Recovery Premium Funding 2024/25</t>
  </si>
  <si>
    <t>*** NNDR in budget plan for2024/25, this is not actual bill amount, you should amend it according to your actual budget in both I01 and E17</t>
  </si>
  <si>
    <t>VAT Payments ****</t>
  </si>
  <si>
    <t>**** Please note VAT is paid a month in arreas. The VAT paid in April 24 is for claim relating to March 24</t>
  </si>
  <si>
    <t>Payslip charges</t>
  </si>
  <si>
    <t>E08</t>
  </si>
  <si>
    <t>Final  Payment for month after all adjustments</t>
  </si>
  <si>
    <t>CFR</t>
  </si>
  <si>
    <t>Adjustments to be made</t>
  </si>
  <si>
    <t>National Tutoring Programme Payment</t>
  </si>
  <si>
    <t>2024/25 LA Statement of Funding and Provisional School Budget Payment Schedule</t>
  </si>
  <si>
    <t xml:space="preserve"> LA monthly payment</t>
  </si>
  <si>
    <t>2024/25 Initial Funding Allocation</t>
  </si>
  <si>
    <t>EY DAF</t>
  </si>
  <si>
    <t>Insurance</t>
  </si>
  <si>
    <t xml:space="preserve">Payments without grants </t>
  </si>
  <si>
    <t>De-Delegation</t>
  </si>
  <si>
    <t>Schools block budget share (after NNDR &amp; De-Delegation)</t>
  </si>
  <si>
    <t>SAP Fund Centre</t>
  </si>
  <si>
    <t>Latest URN</t>
  </si>
  <si>
    <t>Type of
School
Summary</t>
  </si>
  <si>
    <t>REAAD</t>
  </si>
  <si>
    <t>AX085</t>
  </si>
  <si>
    <t>Chq Bk</t>
  </si>
  <si>
    <t>Adderley Primary School</t>
  </si>
  <si>
    <t>REAYX</t>
  </si>
  <si>
    <t>AX087</t>
  </si>
  <si>
    <t>Allens Croft Nursery School</t>
  </si>
  <si>
    <t>REAAN</t>
  </si>
  <si>
    <t>AX008</t>
  </si>
  <si>
    <t>Arden Primary School</t>
  </si>
  <si>
    <t>REAXL</t>
  </si>
  <si>
    <t>AX00E</t>
  </si>
  <si>
    <t>Baskerville School</t>
  </si>
  <si>
    <t>REATE</t>
  </si>
  <si>
    <t>AX08C</t>
  </si>
  <si>
    <t>Bishop Challoner Catholic College</t>
  </si>
  <si>
    <t>REABL</t>
  </si>
  <si>
    <t>AX08G</t>
  </si>
  <si>
    <t>Boldmere Infant School and Nursery</t>
  </si>
  <si>
    <t>REABM</t>
  </si>
  <si>
    <t>AX00T</t>
  </si>
  <si>
    <t>Boldmere Junior School</t>
  </si>
  <si>
    <t>REATH</t>
  </si>
  <si>
    <t>AX08J</t>
  </si>
  <si>
    <t>Bordesley Green Girls' School &amp; Sixth Form</t>
  </si>
  <si>
    <t>REABN</t>
  </si>
  <si>
    <t>AX08H</t>
  </si>
  <si>
    <t>Bordesley Green Primary School</t>
  </si>
  <si>
    <t>REABT</t>
  </si>
  <si>
    <t>AX08N</t>
  </si>
  <si>
    <t>Broadmeadow Infant School</t>
  </si>
  <si>
    <t>REABV</t>
  </si>
  <si>
    <t>AX010</t>
  </si>
  <si>
    <t>Broadmeadow Junior School</t>
  </si>
  <si>
    <t>REATN</t>
  </si>
  <si>
    <t>AX08U</t>
  </si>
  <si>
    <t>Cardinal Wiseman Catholic School</t>
  </si>
  <si>
    <t>REACD</t>
  </si>
  <si>
    <t>AX015</t>
  </si>
  <si>
    <t>Chad Vale Primary School</t>
  </si>
  <si>
    <t>REAXT</t>
  </si>
  <si>
    <t>AX017</t>
  </si>
  <si>
    <t>Cherry Oak School</t>
  </si>
  <si>
    <t>REACG</t>
  </si>
  <si>
    <t>AX08W</t>
  </si>
  <si>
    <t>Chilcote Primary School</t>
  </si>
  <si>
    <t>REACK</t>
  </si>
  <si>
    <t>AX01A</t>
  </si>
  <si>
    <t>Christ Church CofE Controlled Primary School and Nursery</t>
  </si>
  <si>
    <t>REACJ</t>
  </si>
  <si>
    <t>AX019</t>
  </si>
  <si>
    <t>Christ The King Catholic Primary School</t>
  </si>
  <si>
    <t>REATR</t>
  </si>
  <si>
    <t>AX091</t>
  </si>
  <si>
    <t>Colmers School and Sixth Form College</t>
  </si>
  <si>
    <t>REACV</t>
  </si>
  <si>
    <t>AX092</t>
  </si>
  <si>
    <t>Colmore Infant and Nursery School</t>
  </si>
  <si>
    <t>REACW</t>
  </si>
  <si>
    <t>AX093</t>
  </si>
  <si>
    <t>Colmore Junior School</t>
  </si>
  <si>
    <t>READA</t>
  </si>
  <si>
    <t>AX01J</t>
  </si>
  <si>
    <t>Cotteridge Primary School</t>
  </si>
  <si>
    <t>READY</t>
  </si>
  <si>
    <t>AX01Z</t>
  </si>
  <si>
    <t>Forestdale Primary School</t>
  </si>
  <si>
    <t>REAEB</t>
  </si>
  <si>
    <t>AX027</t>
  </si>
  <si>
    <t>Chq bk</t>
  </si>
  <si>
    <t>Glenmead Primary School</t>
  </si>
  <si>
    <t>REAEP</t>
  </si>
  <si>
    <t>AX02H</t>
  </si>
  <si>
    <t>Hall Green Junior School</t>
  </si>
  <si>
    <t>REAVH</t>
  </si>
  <si>
    <t>AX0A1</t>
  </si>
  <si>
    <t>Hodge Hill College</t>
  </si>
  <si>
    <t>REAVJ</t>
  </si>
  <si>
    <t>AX0A2</t>
  </si>
  <si>
    <t>Hodge Hill Girls' School</t>
  </si>
  <si>
    <t>REAVK</t>
  </si>
  <si>
    <t>AX0A4</t>
  </si>
  <si>
    <t>Holte School</t>
  </si>
  <si>
    <t>REAFT</t>
  </si>
  <si>
    <t>AX032</t>
  </si>
  <si>
    <t>James Watt Primary School</t>
  </si>
  <si>
    <t>REAGK</t>
  </si>
  <si>
    <t>AX03L</t>
  </si>
  <si>
    <t>Little Sutton Primary School</t>
  </si>
  <si>
    <t>REAGL</t>
  </si>
  <si>
    <t>AX0AN</t>
  </si>
  <si>
    <t>Lozells Junior and Infant School and Nursery</t>
  </si>
  <si>
    <t>REAGM</t>
  </si>
  <si>
    <t>AX03N</t>
  </si>
  <si>
    <t>Lyndon Green Infant School</t>
  </si>
  <si>
    <t>REAGN</t>
  </si>
  <si>
    <t>AX03P</t>
  </si>
  <si>
    <t>Lyndon Green Junior School</t>
  </si>
  <si>
    <t>REAGY</t>
  </si>
  <si>
    <t>AX03V</t>
  </si>
  <si>
    <t>Marsh Hill Primary School</t>
  </si>
  <si>
    <t>REAGZ</t>
  </si>
  <si>
    <t>AX03X</t>
  </si>
  <si>
    <t>Maryvale Catholic Primary School</t>
  </si>
  <si>
    <t>REAHG</t>
  </si>
  <si>
    <t>AX041</t>
  </si>
  <si>
    <t>Moor Hall Primary School</t>
  </si>
  <si>
    <t>REAWD</t>
  </si>
  <si>
    <t>AX0AW</t>
  </si>
  <si>
    <t>Moseley School and Sixth Form</t>
  </si>
  <si>
    <t>REAYC</t>
  </si>
  <si>
    <t>AX04C</t>
  </si>
  <si>
    <t>Oscott Manor School</t>
  </si>
  <si>
    <t>REAWJ</t>
  </si>
  <si>
    <t>AX0BD</t>
  </si>
  <si>
    <t>Queensbridge School</t>
  </si>
  <si>
    <t>REAYM</t>
  </si>
  <si>
    <t>AX0BK</t>
  </si>
  <si>
    <t>Selly Oak Trust School</t>
  </si>
  <si>
    <t>REAWL</t>
  </si>
  <si>
    <t>AX0BL</t>
  </si>
  <si>
    <t>Selly Park Girls' School</t>
  </si>
  <si>
    <t>REAZV</t>
  </si>
  <si>
    <t>AX056</t>
  </si>
  <si>
    <t>Shenley Fields Nursery School</t>
  </si>
  <si>
    <t>REAKR</t>
  </si>
  <si>
    <t>AX0BR</t>
  </si>
  <si>
    <t>Sladefield Infant School</t>
  </si>
  <si>
    <t>REALP</t>
  </si>
  <si>
    <t>AX05Q</t>
  </si>
  <si>
    <t>St Dunstan's Catholic Primary School</t>
  </si>
  <si>
    <t>REAMJ</t>
  </si>
  <si>
    <t>AX066</t>
  </si>
  <si>
    <t>St Jude's Catholic Primary School</t>
  </si>
  <si>
    <t>REAMK</t>
  </si>
  <si>
    <t>AX067</t>
  </si>
  <si>
    <t>St Laurence Church Infant School</t>
  </si>
  <si>
    <t>REAMX</t>
  </si>
  <si>
    <t>AX06F</t>
  </si>
  <si>
    <t>St Matthew's CofE Primary School</t>
  </si>
  <si>
    <t>REAWX</t>
  </si>
  <si>
    <t>AX0C4</t>
  </si>
  <si>
    <t>St Paul's School for Girls</t>
  </si>
  <si>
    <t>REANF</t>
  </si>
  <si>
    <t>AX06L</t>
  </si>
  <si>
    <t>St Peters CofE Primary School</t>
  </si>
  <si>
    <t>REAXB</t>
  </si>
  <si>
    <t>AX0C8</t>
  </si>
  <si>
    <t>Swanshurst School</t>
  </si>
  <si>
    <t>REAHX</t>
  </si>
  <si>
    <t>AX049</t>
  </si>
  <si>
    <t>The Oratory Roman Catholic Primary School</t>
  </si>
  <si>
    <t>REAYQ</t>
  </si>
  <si>
    <t>AX07A</t>
  </si>
  <si>
    <t>Uffculme School</t>
  </si>
  <si>
    <t>REAYT</t>
  </si>
  <si>
    <t>AX0CG</t>
  </si>
  <si>
    <t>Victoria School</t>
  </si>
  <si>
    <t>REAPH</t>
  </si>
  <si>
    <t>AX0CH</t>
  </si>
  <si>
    <t>Walmley Infant School</t>
  </si>
  <si>
    <t>REAPJ</t>
  </si>
  <si>
    <t>AX0CJ</t>
  </si>
  <si>
    <t>Walmley Junior School</t>
  </si>
  <si>
    <t>REAPQ</t>
  </si>
  <si>
    <t>AX0CL</t>
  </si>
  <si>
    <t>Welford Primary School</t>
  </si>
  <si>
    <t>REAPY</t>
  </si>
  <si>
    <t>AX07P</t>
  </si>
  <si>
    <t>Wheelers Lane Primary School</t>
  </si>
  <si>
    <t>REAXJ</t>
  </si>
  <si>
    <t>AX07N</t>
  </si>
  <si>
    <t>Wheelers Lane Technology College</t>
  </si>
  <si>
    <t>REARA</t>
  </si>
  <si>
    <t>AX07T</t>
  </si>
  <si>
    <t>William Murdoch Primary School</t>
  </si>
  <si>
    <t>REARH</t>
  </si>
  <si>
    <t>AX0CQ</t>
  </si>
  <si>
    <t>World's End Junior School</t>
  </si>
  <si>
    <t>REARL</t>
  </si>
  <si>
    <t>AX07Y</t>
  </si>
  <si>
    <t>Wylde Green Primary School</t>
  </si>
  <si>
    <t>REAYW</t>
  </si>
  <si>
    <t>AX001</t>
  </si>
  <si>
    <t>Non Chq Bk</t>
  </si>
  <si>
    <t>Adderley Nursery School</t>
  </si>
  <si>
    <t>REAAH</t>
  </si>
  <si>
    <t>AX004</t>
  </si>
  <si>
    <t>EPA</t>
  </si>
  <si>
    <t>Allens Croft Primary School</t>
  </si>
  <si>
    <t>REAAM</t>
  </si>
  <si>
    <t>AX007</t>
  </si>
  <si>
    <t>Anglesey Primary School</t>
  </si>
  <si>
    <t>REAAY</t>
  </si>
  <si>
    <t>AX00G</t>
  </si>
  <si>
    <t>Bellfield Infant School (NC)</t>
  </si>
  <si>
    <t>REABB</t>
  </si>
  <si>
    <t>AX00K</t>
  </si>
  <si>
    <t>Benson Community School</t>
  </si>
  <si>
    <t>REAYZ</t>
  </si>
  <si>
    <t>AX00U</t>
  </si>
  <si>
    <t>Bordesley Green East Nursery School</t>
  </si>
  <si>
    <t>REAXN</t>
  </si>
  <si>
    <t>AX00Y</t>
  </si>
  <si>
    <t>Braidwood School for the Deaf</t>
  </si>
  <si>
    <t>REACB</t>
  </si>
  <si>
    <t>AX013</t>
  </si>
  <si>
    <t>Calshot Primary School</t>
  </si>
  <si>
    <t>REACF</t>
  </si>
  <si>
    <t>AX018</t>
  </si>
  <si>
    <t>Cherry Orchard Primary School</t>
  </si>
  <si>
    <t>REAAB</t>
  </si>
  <si>
    <t>AX073</t>
  </si>
  <si>
    <t>City of Birmingham School</t>
  </si>
  <si>
    <t>REACN</t>
  </si>
  <si>
    <t>AX01B</t>
  </si>
  <si>
    <t>Clifton Primary School</t>
  </si>
  <si>
    <t>REACQ</t>
  </si>
  <si>
    <t>AX01E</t>
  </si>
  <si>
    <t>Colebourne Primary School</t>
  </si>
  <si>
    <t>REACY</t>
  </si>
  <si>
    <t>AX01G</t>
  </si>
  <si>
    <t>Coppice Primary School</t>
  </si>
  <si>
    <t>REAYF</t>
  </si>
  <si>
    <t>AX01Q</t>
  </si>
  <si>
    <t>Edith Cadbury Nursery School</t>
  </si>
  <si>
    <t>READJ</t>
  </si>
  <si>
    <t>AX01R</t>
  </si>
  <si>
    <t>Elms Farm Community Primary School</t>
  </si>
  <si>
    <t>READK</t>
  </si>
  <si>
    <t>AX01T</t>
  </si>
  <si>
    <t>English Martyrs' Catholic Primary School</t>
  </si>
  <si>
    <t>READX</t>
  </si>
  <si>
    <t>AX020</t>
  </si>
  <si>
    <t>Four Oaks Primary School</t>
  </si>
  <si>
    <t>REAXW</t>
  </si>
  <si>
    <t>AX021</t>
  </si>
  <si>
    <t>Fox Hollies School</t>
  </si>
  <si>
    <t>REAEA</t>
  </si>
  <si>
    <t>AX026</t>
  </si>
  <si>
    <t>Gilbertstone Primary School</t>
  </si>
  <si>
    <t>REAEN</t>
  </si>
  <si>
    <t>AX02G</t>
  </si>
  <si>
    <t>Hall Green Infant School</t>
  </si>
  <si>
    <t>REAEW</t>
  </si>
  <si>
    <t>AX02M</t>
  </si>
  <si>
    <t>Hawthorn Primary School</t>
  </si>
  <si>
    <t>REAGE</t>
  </si>
  <si>
    <t>AX03E</t>
  </si>
  <si>
    <t>Ladypool Primary School</t>
  </si>
  <si>
    <t>REAYD</t>
  </si>
  <si>
    <t>AX03G</t>
  </si>
  <si>
    <t>Langley School</t>
  </si>
  <si>
    <t>REAYG</t>
  </si>
  <si>
    <t>AX03M</t>
  </si>
  <si>
    <t>Longwill Primary School for Deaf Children</t>
  </si>
  <si>
    <t>REAGP</t>
  </si>
  <si>
    <t>AX03Q</t>
  </si>
  <si>
    <t>Maney Hill Primary School</t>
  </si>
  <si>
    <t>REAHC</t>
  </si>
  <si>
    <t>AX040</t>
  </si>
  <si>
    <t>Minworth Junior and Infant School</t>
  </si>
  <si>
    <t>REAHZ</t>
  </si>
  <si>
    <t>AX04D</t>
  </si>
  <si>
    <t>Our Lady and St Rose of Lima Catholic Primary School</t>
  </si>
  <si>
    <t>REAJB</t>
  </si>
  <si>
    <t>AX04E</t>
  </si>
  <si>
    <t>Our Lady of Lourdes Catholic Primary School</t>
  </si>
  <si>
    <t>REAKB</t>
  </si>
  <si>
    <t>AX04Y</t>
  </si>
  <si>
    <t>Rednal Hill Junior School</t>
  </si>
  <si>
    <t>REAKC</t>
  </si>
  <si>
    <t>AX04Z</t>
  </si>
  <si>
    <t>Regents Park Community Primary School</t>
  </si>
  <si>
    <t>REAKL</t>
  </si>
  <si>
    <t>AX055</t>
  </si>
  <si>
    <t>Shaw Hill Primary School</t>
  </si>
  <si>
    <t>REAKT</t>
  </si>
  <si>
    <t>AX059</t>
  </si>
  <si>
    <t>Somerville Primary (NC) School</t>
  </si>
  <si>
    <t>REAMB</t>
  </si>
  <si>
    <t>AX061</t>
  </si>
  <si>
    <t>SS John &amp; Monica Catholic Primary School</t>
  </si>
  <si>
    <t>REAKY</t>
  </si>
  <si>
    <t>AX05D</t>
  </si>
  <si>
    <t>St Ambrose Barlow Catholic Primary School</t>
  </si>
  <si>
    <t>REALA</t>
  </si>
  <si>
    <t>AX05E</t>
  </si>
  <si>
    <t>St Anne's Catholic Primary School</t>
  </si>
  <si>
    <t>REALE</t>
  </si>
  <si>
    <t>AX05J</t>
  </si>
  <si>
    <t>St Bernadette's Catholic Primary School</t>
  </si>
  <si>
    <t>REALR</t>
  </si>
  <si>
    <t>AX05U</t>
  </si>
  <si>
    <t>St Edward's Catholic Primary School</t>
  </si>
  <si>
    <t>REALY</t>
  </si>
  <si>
    <t>AX05Y</t>
  </si>
  <si>
    <t>St Gerard's Catholic Primary School</t>
  </si>
  <si>
    <t>REAMN</t>
  </si>
  <si>
    <t>AX069</t>
  </si>
  <si>
    <t>St Margaret Mary Catholic Primary School</t>
  </si>
  <si>
    <t>REAMW</t>
  </si>
  <si>
    <t>AX06E</t>
  </si>
  <si>
    <t>St Mary's Catholic Primary School</t>
  </si>
  <si>
    <t>REANG</t>
  </si>
  <si>
    <t>AX06M</t>
  </si>
  <si>
    <t>St Peter's Catholic Primary School</t>
  </si>
  <si>
    <t>REANH</t>
  </si>
  <si>
    <t>AX06N</t>
  </si>
  <si>
    <t>St Saviour's C of E Primary School</t>
  </si>
  <si>
    <t>REANP</t>
  </si>
  <si>
    <t>AX06W</t>
  </si>
  <si>
    <t>Stanville Primary School</t>
  </si>
  <si>
    <t>REAJP</t>
  </si>
  <si>
    <t>AX070</t>
  </si>
  <si>
    <t>Story Wood School</t>
  </si>
  <si>
    <t>REANW</t>
  </si>
  <si>
    <t>AX072</t>
  </si>
  <si>
    <t>Sundridge Primary School</t>
  </si>
  <si>
    <t>REAXV</t>
  </si>
  <si>
    <t>AX01M</t>
  </si>
  <si>
    <t>The Dame Ellen Pinsent School</t>
  </si>
  <si>
    <t>REAYJ</t>
  </si>
  <si>
    <t>AX04P</t>
  </si>
  <si>
    <t>The Pines Special School</t>
  </si>
  <si>
    <t>REAZW</t>
  </si>
  <si>
    <t>AX07D</t>
  </si>
  <si>
    <t>Washwood Heath Nursery School</t>
  </si>
  <si>
    <t>REAPM</t>
  </si>
  <si>
    <t>AX07E</t>
  </si>
  <si>
    <t>Water Mill Primary School</t>
  </si>
  <si>
    <t>REAPP</t>
  </si>
  <si>
    <t>AX07F</t>
  </si>
  <si>
    <t>Wattville Primary School</t>
  </si>
  <si>
    <t>REAPR</t>
  </si>
  <si>
    <t>AX07H</t>
  </si>
  <si>
    <t>Welsh House Farm Community School and Special Needs Resources Base</t>
  </si>
  <si>
    <t>REAPZ</t>
  </si>
  <si>
    <t>AX07Q</t>
  </si>
  <si>
    <t>Whitehouse Common Primary School</t>
  </si>
  <si>
    <t>REARC</t>
  </si>
  <si>
    <t>AX07U</t>
  </si>
  <si>
    <t>Woodcock Hill Primary School</t>
  </si>
  <si>
    <t>REARD</t>
  </si>
  <si>
    <t>AX07V</t>
  </si>
  <si>
    <t>Woodgate Primary School</t>
  </si>
  <si>
    <t>REARG</t>
  </si>
  <si>
    <t>AX07X</t>
  </si>
  <si>
    <t>World's End Infant and Nursery School</t>
  </si>
  <si>
    <t>REARQ</t>
  </si>
  <si>
    <t>AX080</t>
  </si>
  <si>
    <t>Yardley Primary School</t>
  </si>
  <si>
    <t>REAAE</t>
  </si>
  <si>
    <t>AX002</t>
  </si>
  <si>
    <t>Al-Furqan Primary School</t>
  </si>
  <si>
    <t>REAAK</t>
  </si>
  <si>
    <t>AX006</t>
  </si>
  <si>
    <t>Anderton Park Primary School</t>
  </si>
  <si>
    <t>REAAW</t>
  </si>
  <si>
    <t>AX00C</t>
  </si>
  <si>
    <t>Barford Primary School</t>
  </si>
  <si>
    <t>REAXM</t>
  </si>
  <si>
    <t>AX00F</t>
  </si>
  <si>
    <t>Beaufort School</t>
  </si>
  <si>
    <t>REAJM</t>
  </si>
  <si>
    <t>AX04L</t>
  </si>
  <si>
    <t>Beeches Infant School</t>
  </si>
  <si>
    <t>REAJN</t>
  </si>
  <si>
    <t>AX04M</t>
  </si>
  <si>
    <t>Beeches Junior School</t>
  </si>
  <si>
    <t>REAAZ</t>
  </si>
  <si>
    <t>AX00H</t>
  </si>
  <si>
    <t>Bellfield Junior School</t>
  </si>
  <si>
    <t>REABA</t>
  </si>
  <si>
    <t>AX00J</t>
  </si>
  <si>
    <t>Bells Farm Primary School</t>
  </si>
  <si>
    <t>REABK</t>
  </si>
  <si>
    <t>AX00Q</t>
  </si>
  <si>
    <t>Blakesley Hall Primary School</t>
  </si>
  <si>
    <t>REAYY</t>
  </si>
  <si>
    <t>AX00R</t>
  </si>
  <si>
    <t>Bloomsbury Nursery School</t>
  </si>
  <si>
    <t>REABR</t>
  </si>
  <si>
    <t>AX00X</t>
  </si>
  <si>
    <t>Bournville Village Primary</t>
  </si>
  <si>
    <t>REAZA</t>
  </si>
  <si>
    <t>AX00Z</t>
  </si>
  <si>
    <t>Brearley Nursery School</t>
  </si>
  <si>
    <t>REAZB</t>
  </si>
  <si>
    <t>AX014</t>
  </si>
  <si>
    <t>Castle Vale Nursery School</t>
  </si>
  <si>
    <t>REACP</t>
  </si>
  <si>
    <t>AX01D</t>
  </si>
  <si>
    <t>Cofton Primary School</t>
  </si>
  <si>
    <t>REACZ</t>
  </si>
  <si>
    <t>AX01H</t>
  </si>
  <si>
    <t>Corpus Christi Catholic Primary School</t>
  </si>
  <si>
    <t>READD</t>
  </si>
  <si>
    <t>AX01L</t>
  </si>
  <si>
    <t>Court Farm Primary School</t>
  </si>
  <si>
    <t>READG</t>
  </si>
  <si>
    <t>AX01N</t>
  </si>
  <si>
    <t>Deykin Avenue Junior and Infant School</t>
  </si>
  <si>
    <t>REAZC</t>
  </si>
  <si>
    <t>AX01X</t>
  </si>
  <si>
    <t>Featherstone Nursery School</t>
  </si>
  <si>
    <t>READN</t>
  </si>
  <si>
    <t>AX01W</t>
  </si>
  <si>
    <t>Featherstone Primary School</t>
  </si>
  <si>
    <t>REAZD</t>
  </si>
  <si>
    <t>AX023</t>
  </si>
  <si>
    <t>Garretts Green Nursery School</t>
  </si>
  <si>
    <t>READZ</t>
  </si>
  <si>
    <t>AX025</t>
  </si>
  <si>
    <t>George Dixon Primary School</t>
  </si>
  <si>
    <t>REAZE</t>
  </si>
  <si>
    <t>AX028</t>
  </si>
  <si>
    <t>Goodway Nursery School</t>
  </si>
  <si>
    <t>REAZF</t>
  </si>
  <si>
    <t>AX029</t>
  </si>
  <si>
    <t>Gracelands Nursery School</t>
  </si>
  <si>
    <t>REAEH</t>
  </si>
  <si>
    <t>AX02C</t>
  </si>
  <si>
    <t>Grendon Primary School</t>
  </si>
  <si>
    <t>REAEK</t>
  </si>
  <si>
    <t>AX02D</t>
  </si>
  <si>
    <t>Grove School</t>
  </si>
  <si>
    <t>REAEM</t>
  </si>
  <si>
    <t>AX02F</t>
  </si>
  <si>
    <t>Gunter Primary School</t>
  </si>
  <si>
    <t>REAXZ</t>
  </si>
  <si>
    <t>AX02K</t>
  </si>
  <si>
    <t>Hamilton School</t>
  </si>
  <si>
    <t>REAER</t>
  </si>
  <si>
    <t>AX02L</t>
  </si>
  <si>
    <t>Harborne Primary School</t>
  </si>
  <si>
    <t>REAHP</t>
  </si>
  <si>
    <t>AX09P</t>
  </si>
  <si>
    <t>Harper Bell Seventh-Day Adventist School</t>
  </si>
  <si>
    <t>REAZG</t>
  </si>
  <si>
    <t>AX02P</t>
  </si>
  <si>
    <t>Highfield Nursery School</t>
  </si>
  <si>
    <t>REAZH</t>
  </si>
  <si>
    <t>AX02R</t>
  </si>
  <si>
    <t>Highters Heath Nursery School</t>
  </si>
  <si>
    <t>REAFH</t>
  </si>
  <si>
    <t>AX02U</t>
  </si>
  <si>
    <t>Holly Hill Methodist CofE Infant School</t>
  </si>
  <si>
    <t>REAFK</t>
  </si>
  <si>
    <t>AX02V</t>
  </si>
  <si>
    <t>Hollyfield Primary School</t>
  </si>
  <si>
    <t>REAFP</t>
  </si>
  <si>
    <t>AX02Y</t>
  </si>
  <si>
    <t>REAZJ</t>
  </si>
  <si>
    <t>AX0A7</t>
  </si>
  <si>
    <t>Jakeman Nursery School</t>
  </si>
  <si>
    <t>REAFW</t>
  </si>
  <si>
    <t>AX035</t>
  </si>
  <si>
    <t>King David Junior and Infant School</t>
  </si>
  <si>
    <t>REAVW</t>
  </si>
  <si>
    <t>AX036</t>
  </si>
  <si>
    <t>Kings Heath Boys</t>
  </si>
  <si>
    <t>REAFY</t>
  </si>
  <si>
    <t>AX037</t>
  </si>
  <si>
    <t>Kings Heath Primary School</t>
  </si>
  <si>
    <t>REAZK</t>
  </si>
  <si>
    <t>AX03A</t>
  </si>
  <si>
    <t>Kings Norton Nursery School</t>
  </si>
  <si>
    <t>REAGB</t>
  </si>
  <si>
    <t>AX03B</t>
  </si>
  <si>
    <t>Kingsland Primary School (NC)</t>
  </si>
  <si>
    <t>REAGC</t>
  </si>
  <si>
    <t>AX03C</t>
  </si>
  <si>
    <t>Kingsthorne Primary School</t>
  </si>
  <si>
    <t>REAGD</t>
  </si>
  <si>
    <t>AX03D</t>
  </si>
  <si>
    <t>Kitwell Primary School and Nursery Class</t>
  </si>
  <si>
    <t>REAZL</t>
  </si>
  <si>
    <t>AX03J</t>
  </si>
  <si>
    <t>Lillian de Lissa Nursery School</t>
  </si>
  <si>
    <t>REAYE</t>
  </si>
  <si>
    <t>AX03K</t>
  </si>
  <si>
    <t>Lindsworth School</t>
  </si>
  <si>
    <t>REAGV</t>
  </si>
  <si>
    <t>AX03R</t>
  </si>
  <si>
    <t>Mapledene Primary School</t>
  </si>
  <si>
    <t>REAZM</t>
  </si>
  <si>
    <t>AX03W</t>
  </si>
  <si>
    <t>Marsh Hill Nursery School</t>
  </si>
  <si>
    <t>REAHH</t>
  </si>
  <si>
    <t>AX042</t>
  </si>
  <si>
    <t>Moseley Church of England Primary School</t>
  </si>
  <si>
    <t>REAHM</t>
  </si>
  <si>
    <t>AX044</t>
  </si>
  <si>
    <t>Nelson Mandela School</t>
  </si>
  <si>
    <t>REAHL</t>
  </si>
  <si>
    <t>AX043</t>
  </si>
  <si>
    <t>Nelson Primary School</t>
  </si>
  <si>
    <t>REAHN</t>
  </si>
  <si>
    <t>AX045</t>
  </si>
  <si>
    <t>New Hall Primary School</t>
  </si>
  <si>
    <t>REAHQ</t>
  </si>
  <si>
    <t>AX046</t>
  </si>
  <si>
    <t>New Oscott Primary School</t>
  </si>
  <si>
    <t>REAZN</t>
  </si>
  <si>
    <t>AX047</t>
  </si>
  <si>
    <t>Newtown Nursery School</t>
  </si>
  <si>
    <t>REAZP</t>
  </si>
  <si>
    <t>AX04B</t>
  </si>
  <si>
    <t>Osborne Nursery School</t>
  </si>
  <si>
    <t>REAJF</t>
  </si>
  <si>
    <t>AX04H</t>
  </si>
  <si>
    <t>Paget Primary School</t>
  </si>
  <si>
    <t>REAJG</t>
  </si>
  <si>
    <t>AX04J</t>
  </si>
  <si>
    <t>Park Hill Primary School</t>
  </si>
  <si>
    <t>REAJK</t>
  </si>
  <si>
    <t>AX04K</t>
  </si>
  <si>
    <t>Penns Primary School</t>
  </si>
  <si>
    <t>REAZQ</t>
  </si>
  <si>
    <t>AX04N</t>
  </si>
  <si>
    <t>Perry Beeches Nursery School</t>
  </si>
  <si>
    <t>REAYK</t>
  </si>
  <si>
    <t>AX04Q</t>
  </si>
  <si>
    <t>Priestley Smith School</t>
  </si>
  <si>
    <t>REAJX</t>
  </si>
  <si>
    <t>AX04V</t>
  </si>
  <si>
    <t>Raddlebarn Primary School</t>
  </si>
  <si>
    <t>REAJZ</t>
  </si>
  <si>
    <t>AX04W</t>
  </si>
  <si>
    <t>Redhill Primary School</t>
  </si>
  <si>
    <t>REAKA</t>
  </si>
  <si>
    <t>AX04X</t>
  </si>
  <si>
    <t>Rednal Hill Infant School</t>
  </si>
  <si>
    <t>REAZT</t>
  </si>
  <si>
    <t>AX052</t>
  </si>
  <si>
    <t>Rubery Nursery School</t>
  </si>
  <si>
    <t>REAZU</t>
  </si>
  <si>
    <t>AX053</t>
  </si>
  <si>
    <t>Selly Oak Nursery School</t>
  </si>
  <si>
    <t>REAKK</t>
  </si>
  <si>
    <t>AX054</t>
  </si>
  <si>
    <t>Severne Junior Infant and Nursery School</t>
  </si>
  <si>
    <t>REAYP</t>
  </si>
  <si>
    <t>AX05A</t>
  </si>
  <si>
    <t>Springfield House Community Special School</t>
  </si>
  <si>
    <t>REAKX</t>
  </si>
  <si>
    <t>AX05C</t>
  </si>
  <si>
    <t>St Alban's Catholic Primary School</t>
  </si>
  <si>
    <t>REALB</t>
  </si>
  <si>
    <t>AX05F</t>
  </si>
  <si>
    <t>St Augustine's Catholic Primary School</t>
  </si>
  <si>
    <t>REALD</t>
  </si>
  <si>
    <t>AX05H</t>
  </si>
  <si>
    <t>St Benedict's Primary School</t>
  </si>
  <si>
    <t>REALF</t>
  </si>
  <si>
    <t>AX05K</t>
  </si>
  <si>
    <t>St Bernard's Catholic Primary School</t>
  </si>
  <si>
    <t>REALH</t>
  </si>
  <si>
    <t>AX05L</t>
  </si>
  <si>
    <t>St Catherine of Siena Catholic Primary School</t>
  </si>
  <si>
    <t>REALK</t>
  </si>
  <si>
    <t>AX05N</t>
  </si>
  <si>
    <t>St Clare's Catholic Primary School</t>
  </si>
  <si>
    <t>REALN</t>
  </si>
  <si>
    <t>AX05P</t>
  </si>
  <si>
    <t>St Cuthbert's Catholic Primary School</t>
  </si>
  <si>
    <t>REALV</t>
  </si>
  <si>
    <t>AX05V</t>
  </si>
  <si>
    <t>St Francis Catholic Primary School</t>
  </si>
  <si>
    <t>REALZ</t>
  </si>
  <si>
    <t>AX05Z</t>
  </si>
  <si>
    <t>St James Church of England Primary School, Handsworth</t>
  </si>
  <si>
    <t>REAWV</t>
  </si>
  <si>
    <t>AX063</t>
  </si>
  <si>
    <t>St John Wall Catholic School</t>
  </si>
  <si>
    <t>REAML</t>
  </si>
  <si>
    <t>AX068</t>
  </si>
  <si>
    <t>St Laurence Church Junior School</t>
  </si>
  <si>
    <t>REAMQ</t>
  </si>
  <si>
    <t>AX06B</t>
  </si>
  <si>
    <t>St Martin de Porres Catholic Primary School</t>
  </si>
  <si>
    <t>REAMV</t>
  </si>
  <si>
    <t>AX06D</t>
  </si>
  <si>
    <t>REANB</t>
  </si>
  <si>
    <t>AX06H</t>
  </si>
  <si>
    <t>St Patrick and St Edmund's Catholic Primary School</t>
  </si>
  <si>
    <t>REANJ</t>
  </si>
  <si>
    <t>AX06P</t>
  </si>
  <si>
    <t>St Teresa's Catholic Primary School</t>
  </si>
  <si>
    <t>REAZR</t>
  </si>
  <si>
    <t>AX06R</t>
  </si>
  <si>
    <t>St Thomas Centre Nursery School</t>
  </si>
  <si>
    <t>REANM</t>
  </si>
  <si>
    <t>AX06U</t>
  </si>
  <si>
    <t>St Vincent's Catholic Primary School</t>
  </si>
  <si>
    <t>REANR</t>
  </si>
  <si>
    <t>AX06Y</t>
  </si>
  <si>
    <t>Stechford Primary School</t>
  </si>
  <si>
    <t>REANV</t>
  </si>
  <si>
    <t>AX071</t>
  </si>
  <si>
    <t>Summerfield School</t>
  </si>
  <si>
    <t>REAHA</t>
  </si>
  <si>
    <t>AX03Z</t>
  </si>
  <si>
    <t>The Meadows Primary School</t>
  </si>
  <si>
    <t>REANY</t>
  </si>
  <si>
    <t>AX075</t>
  </si>
  <si>
    <t>Thornton Primary School</t>
  </si>
  <si>
    <t>REAPK</t>
  </si>
  <si>
    <t>AX07B</t>
  </si>
  <si>
    <t>Ward End Primary School</t>
  </si>
  <si>
    <t>REAZX</t>
  </si>
  <si>
    <t>AX07J</t>
  </si>
  <si>
    <t>Weoley Castle Nursery School</t>
  </si>
  <si>
    <t>REAZY</t>
  </si>
  <si>
    <t>AX07K</t>
  </si>
  <si>
    <t>West Heath Nursery School</t>
  </si>
  <si>
    <t>REAPV</t>
  </si>
  <si>
    <t>AX07L</t>
  </si>
  <si>
    <t>West Heath Primary School</t>
  </si>
  <si>
    <t>REARF</t>
  </si>
  <si>
    <t>AX07W</t>
  </si>
  <si>
    <t>Woodthorpe Junior and Infant School</t>
  </si>
  <si>
    <t>REARR</t>
  </si>
  <si>
    <t>AX081</t>
  </si>
  <si>
    <t>Yardley Wood Community Primary School</t>
  </si>
  <si>
    <t>REARY</t>
  </si>
  <si>
    <t>AX083</t>
  </si>
  <si>
    <t>Yorkmead Junior and Infant School</t>
  </si>
  <si>
    <t>Select DfE Number</t>
  </si>
  <si>
    <t>-</t>
  </si>
  <si>
    <t>Links to Backup</t>
  </si>
  <si>
    <t>PE &amp; SPORTS Apr 2024</t>
  </si>
  <si>
    <t>National Tutoring Programme Apr 24</t>
  </si>
  <si>
    <t>Senior Mental Health Leads Training  Apr 2024</t>
  </si>
  <si>
    <t>Total Check</t>
  </si>
  <si>
    <t>Kitwell Primary School</t>
  </si>
  <si>
    <t>The Pines School</t>
  </si>
  <si>
    <t>Paganel Primary School</t>
  </si>
  <si>
    <t>Summerfield Junior and Infant School</t>
  </si>
  <si>
    <t>Nelson Junior and Infant School</t>
  </si>
  <si>
    <t>St Patrick's Catholic Primary School</t>
  </si>
  <si>
    <t>King David Primary School</t>
  </si>
  <si>
    <t>St Margaret Mary RC Junior and Infant School</t>
  </si>
  <si>
    <t>St Gerard's RC Junior and Infant School</t>
  </si>
  <si>
    <t>St Cuthbert's RC Junior and Infant (NC) School</t>
  </si>
  <si>
    <t>St John and Monica Catholic Primary School</t>
  </si>
  <si>
    <t>Harper Bell Seventh-day Adventist School</t>
  </si>
  <si>
    <t>Selly Park  Girls' School</t>
  </si>
  <si>
    <t>Prince Albert Junior and Infant School</t>
  </si>
  <si>
    <t>The Oaks Primary School</t>
  </si>
  <si>
    <t>Acocks Green Primary School</t>
  </si>
  <si>
    <t>Nishkam Primary School Birmingham</t>
  </si>
  <si>
    <t>Erdington Hall Primary School</t>
  </si>
  <si>
    <t>Slade Primary School</t>
  </si>
  <si>
    <t>Nansen Primary School</t>
  </si>
  <si>
    <t>Canterbury Cross Primary School</t>
  </si>
  <si>
    <t>Chilwell Croft Academy</t>
  </si>
  <si>
    <t>E-Act Nechells Academy</t>
  </si>
  <si>
    <t>Colmers Farm Primary School</t>
  </si>
  <si>
    <t>Ark Tindal Primary Academy</t>
  </si>
  <si>
    <t>Percy Shurmer Academy</t>
  </si>
  <si>
    <t>The Shirestone Academy</t>
  </si>
  <si>
    <t>St Clement's Church of England Academy</t>
  </si>
  <si>
    <t>Cromwell Junior and Infant School</t>
  </si>
  <si>
    <t>St Michael's CofE Primary Academy, Handsworth</t>
  </si>
  <si>
    <t>The Oaklands Primary School</t>
  </si>
  <si>
    <t>Dorrington Academy</t>
  </si>
  <si>
    <t>Warren Farm Primary School</t>
  </si>
  <si>
    <t>Montgomery Primary Academy</t>
  </si>
  <si>
    <t>St John's &amp; St Peter's CofE Academy</t>
  </si>
  <si>
    <t>Billesley Primary School</t>
  </si>
  <si>
    <t>Kings Rise Academy</t>
  </si>
  <si>
    <t>Mansfield Green E-ACT Academy</t>
  </si>
  <si>
    <t>Moor Green Primary Academy</t>
  </si>
  <si>
    <t>Reaside Academy</t>
  </si>
  <si>
    <t>Conway Primary School</t>
  </si>
  <si>
    <t>Greenholm Primary School</t>
  </si>
  <si>
    <t>Greet Primary School</t>
  </si>
  <si>
    <t>Lea Forest Primary Academy</t>
  </si>
  <si>
    <t>Tame Valley Academy</t>
  </si>
  <si>
    <t>Merritts Brook Primary E-ACT Academy</t>
  </si>
  <si>
    <t>Oasis Academy Blakenhale Infants</t>
  </si>
  <si>
    <t>Oasis Academy Short Heath</t>
  </si>
  <si>
    <t>St George's Church of England Academy, Newtown</t>
  </si>
  <si>
    <t>Oasis Academy Woodview</t>
  </si>
  <si>
    <t>Oasis Academy Blakenhale Junior</t>
  </si>
  <si>
    <t>Four Dwellings Primary Academy</t>
  </si>
  <si>
    <t>Oasis Academy Hobmoor</t>
  </si>
  <si>
    <t>Jervoise School</t>
  </si>
  <si>
    <t>Oasis Academy Boulton</t>
  </si>
  <si>
    <t>St George's Church of England Primary School</t>
  </si>
  <si>
    <t>Hawkesley Church Primary Academy</t>
  </si>
  <si>
    <t>Yarnfield Primary School</t>
  </si>
  <si>
    <t>Tiverton Academy</t>
  </si>
  <si>
    <t>Marlborough Primary School</t>
  </si>
  <si>
    <t>Woodhouse Primary Academy</t>
  </si>
  <si>
    <t>Grestone Academy</t>
  </si>
  <si>
    <t>Chivenor Primary School</t>
  </si>
  <si>
    <t>Oasis Academy Foundry</t>
  </si>
  <si>
    <t>Alston Primary School</t>
  </si>
  <si>
    <t>Town Junior School</t>
  </si>
  <si>
    <t>Wyndcliffe Primary School</t>
  </si>
  <si>
    <t>Brownmead Primary Academy</t>
  </si>
  <si>
    <t>St Columba's Catholic Primary School</t>
  </si>
  <si>
    <t>Princethorpe Infant School</t>
  </si>
  <si>
    <t>St Joseph's Catholic Primary School</t>
  </si>
  <si>
    <t>Manor Park Primary Academy</t>
  </si>
  <si>
    <t>Highfield Junior and Infant School</t>
  </si>
  <si>
    <t>The Olive School, Birmingham</t>
  </si>
  <si>
    <t>Chandos Primary School</t>
  </si>
  <si>
    <t>Bordesley Village Primary School</t>
  </si>
  <si>
    <t>Turves Green Primary School</t>
  </si>
  <si>
    <t>Yew Tree Community Junior and Infant School (NC)</t>
  </si>
  <si>
    <t>Springfield Primary Academy</t>
  </si>
  <si>
    <t>Birchfield Primary School</t>
  </si>
  <si>
    <t>St Mary and St John Junior and Infant School</t>
  </si>
  <si>
    <t>Stirchley Primary School</t>
  </si>
  <si>
    <t>City Road Primary School</t>
  </si>
  <si>
    <t>Timberley Academy</t>
  </si>
  <si>
    <t>Brookfields Primary School</t>
  </si>
  <si>
    <t>Princethorpe Junior School</t>
  </si>
  <si>
    <t>Holy Souls Catholic Primary School</t>
  </si>
  <si>
    <t>St Thomas More Catholic Primary School</t>
  </si>
  <si>
    <t>Sacred Heart Catholic School</t>
  </si>
  <si>
    <t>Sutton Park Primary</t>
  </si>
  <si>
    <t>The Olive School, Small Heath</t>
  </si>
  <si>
    <t>Osborne Primary School</t>
  </si>
  <si>
    <t>Kings Norton Junior and Infant School</t>
  </si>
  <si>
    <t>Highters Heath Community School</t>
  </si>
  <si>
    <t>Birches Green Primary School</t>
  </si>
  <si>
    <t>Cedars Academy</t>
  </si>
  <si>
    <t>The Orchards Primary Academy</t>
  </si>
  <si>
    <t>Northfield Manor Primary Academy</t>
  </si>
  <si>
    <t>Topcliffe Primary School</t>
  </si>
  <si>
    <t>Hollywood Primary School</t>
  </si>
  <si>
    <t>Brookvale Primary School</t>
  </si>
  <si>
    <t>Cottesbrooke Infant and Nursery School</t>
  </si>
  <si>
    <t>Heathfield Primary School</t>
  </si>
  <si>
    <t>Fairway Primary Academy</t>
  </si>
  <si>
    <t>Heath Mount Primary School</t>
  </si>
  <si>
    <t>Nonsuch Primary School</t>
  </si>
  <si>
    <t>Holland House Infant School and Nursery</t>
  </si>
  <si>
    <t>Hillstone Primary School</t>
  </si>
  <si>
    <t>Aston Tower Community Primary School</t>
  </si>
  <si>
    <t>The Oval School</t>
  </si>
  <si>
    <t>Gossey Lane Academy</t>
  </si>
  <si>
    <t>Twickenham Primary School</t>
  </si>
  <si>
    <t>Barr View Primary &amp; Nursery Academy</t>
  </si>
  <si>
    <t>Green Meadow Primary School</t>
  </si>
  <si>
    <t>Pegasus Primary School</t>
  </si>
  <si>
    <t>Leigh Primary School</t>
  </si>
  <si>
    <t>Heathlands Primary Academy</t>
  </si>
  <si>
    <t>Parkfield Community School</t>
  </si>
  <si>
    <t>Robin Hood Academy</t>
  </si>
  <si>
    <t>Mere Green Primary School</t>
  </si>
  <si>
    <t>Westminster Primary School</t>
  </si>
  <si>
    <t>Firs Primary School</t>
  </si>
  <si>
    <t>Wychall Primary School</t>
  </si>
  <si>
    <t>Rookery School</t>
  </si>
  <si>
    <t>Yenton Primary School</t>
  </si>
  <si>
    <t>Quinton Church Primary School</t>
  </si>
  <si>
    <t>St Marys C of E Primary and Nursery, Academy, Handsworth</t>
  </si>
  <si>
    <t>Saint Barnabas Church of England Primary School</t>
  </si>
  <si>
    <t>Holy Trinity CE Primary Academy (Handsworth)</t>
  </si>
  <si>
    <t>St John's CofE Primary School</t>
  </si>
  <si>
    <t>St Michael's Church of England Primary School</t>
  </si>
  <si>
    <t>St Thomas CofE Academy</t>
  </si>
  <si>
    <t>Guardian Angels Catholic Primary School</t>
  </si>
  <si>
    <t>Abbey Catholic Primary School</t>
  </si>
  <si>
    <t>The Rosary Catholic Primary School</t>
  </si>
  <si>
    <t>St Brigid's Catholic Primary School</t>
  </si>
  <si>
    <t>St Chad's Catholic Primary School</t>
  </si>
  <si>
    <t>Our Lady's Catholic Primary School</t>
  </si>
  <si>
    <t>St James Catholic Primary School</t>
  </si>
  <si>
    <t>St Wilfrid's Catholic Junior and Infant School</t>
  </si>
  <si>
    <t>St John Fisher Catholic Primary School</t>
  </si>
  <si>
    <t>St Peter and St Paul RC Junior and Infant School</t>
  </si>
  <si>
    <t>St Paul's Catholic Primary School</t>
  </si>
  <si>
    <t>Our Lady of Fatima Catholic Primary School</t>
  </si>
  <si>
    <t>St Mark's Catholic Primary School</t>
  </si>
  <si>
    <t>Holy Cross Catholic Primary School</t>
  </si>
  <si>
    <t>St Nicholas Catholic Primary School</t>
  </si>
  <si>
    <t>Audley Primary School</t>
  </si>
  <si>
    <t>Hill West Primary School</t>
  </si>
  <si>
    <t>Hodge Hill Primary School</t>
  </si>
  <si>
    <t>Albert Bradbeer Primary Academy</t>
  </si>
  <si>
    <t>The Deanery Church of England Primary School</t>
  </si>
  <si>
    <t>St Francis Church of England Aided Primary School and Nursery</t>
  </si>
  <si>
    <t>Erdington Academy</t>
  </si>
  <si>
    <t>Birmingham Ormiston Academy</t>
  </si>
  <si>
    <t>Aston University Engineering Academy</t>
  </si>
  <si>
    <t>Nishkam High School</t>
  </si>
  <si>
    <t>Four Dwellings Academy</t>
  </si>
  <si>
    <t>Greenwood Academy</t>
  </si>
  <si>
    <t>Waverley Studio College</t>
  </si>
  <si>
    <t>Hillcrest School and Sixth Form Centre</t>
  </si>
  <si>
    <t>Ark Boulton Academy</t>
  </si>
  <si>
    <t>The University of Birmingham School</t>
  </si>
  <si>
    <t>Jewellery Quarter Academy</t>
  </si>
  <si>
    <t>Saltley Academy</t>
  </si>
  <si>
    <t>Eden Boys' School, Birmingham</t>
  </si>
  <si>
    <t>Cockshut Hill School</t>
  </si>
  <si>
    <t>Tile Cross Academy</t>
  </si>
  <si>
    <t>Small Heath Leadership Academy</t>
  </si>
  <si>
    <t>Holy Trinity Catholic School</t>
  </si>
  <si>
    <t>John Willmott School</t>
  </si>
  <si>
    <t>Lordswood Boys' School</t>
  </si>
  <si>
    <t>Arena Academy</t>
  </si>
  <si>
    <t>Eden Boys' Leadership Academy, Birmingham East</t>
  </si>
  <si>
    <t>Eden Girls'  Leadership Academy, Birmingham</t>
  </si>
  <si>
    <t>King Edward VI Balaam Wood Academy</t>
  </si>
  <si>
    <t>City Academy</t>
  </si>
  <si>
    <t>Turves Green Boys' School</t>
  </si>
  <si>
    <t>Prince Albert High School</t>
  </si>
  <si>
    <t>Christ Church, Church of England Secondary Academy</t>
  </si>
  <si>
    <t>BOA Digital Technologies Academy</t>
  </si>
  <si>
    <t>King Edward VI Lordswood School for Girls</t>
  </si>
  <si>
    <t>Bartley Green School</t>
  </si>
  <si>
    <t>Dame Elizabeth Cadbury School</t>
  </si>
  <si>
    <t>King Edward VI Northfield School for Girls</t>
  </si>
  <si>
    <t>Stockland Green School</t>
  </si>
  <si>
    <t>King Edward VI Handsworth Wood Girls' Academy</t>
  </si>
  <si>
    <t>Aston Manor Academy</t>
  </si>
  <si>
    <t>Broadway Academy</t>
  </si>
  <si>
    <t>Hamstead Hall Academy</t>
  </si>
  <si>
    <t>Holyhead School</t>
  </si>
  <si>
    <t>Yardleys School</t>
  </si>
  <si>
    <t>Sutton Coldfield Grammar School for Girls</t>
  </si>
  <si>
    <t>The Arthur Terry School</t>
  </si>
  <si>
    <t>Rockwood Academy</t>
  </si>
  <si>
    <t>Plantsbrook School</t>
  </si>
  <si>
    <t>St Thomas Aquinas Catholic School</t>
  </si>
  <si>
    <t>Bishop Vesey's Grammar School</t>
  </si>
  <si>
    <t>Bishop Walsh Catholic School</t>
  </si>
  <si>
    <t>St Edmund Campion Catholic School</t>
  </si>
  <si>
    <t>Archbishop Ilsley Catholic School</t>
  </si>
  <si>
    <t>King Edward VI Handsworth Grammar School for Boys</t>
  </si>
  <si>
    <t>Fortis Academy</t>
  </si>
  <si>
    <t>King Edward VI Handsworth School</t>
  </si>
  <si>
    <t>King Edward VI Five Ways School</t>
  </si>
  <si>
    <t>King Edward VI Camp Hill School for Girls</t>
  </si>
  <si>
    <t>King Edward VI Camp Hill School for Boys</t>
  </si>
  <si>
    <t>King Edward VI Aston School</t>
  </si>
  <si>
    <t>Hall Green School</t>
  </si>
  <si>
    <t>Fairfax</t>
  </si>
  <si>
    <t>Ninestiles, an Academy</t>
  </si>
  <si>
    <t>George Dixon Academy</t>
  </si>
  <si>
    <t>Kings Norton Girls' School</t>
  </si>
  <si>
    <t>Heartlands Academy</t>
  </si>
  <si>
    <t>King Edward VI Sheldon Heath Academy</t>
  </si>
  <si>
    <t>Shenley Academy</t>
  </si>
  <si>
    <t>Ark St Alban's Academy</t>
  </si>
  <si>
    <t>North Birmingham Academy</t>
  </si>
  <si>
    <t>Harborne Academy</t>
  </si>
  <si>
    <t>Ark Kings Academy</t>
  </si>
  <si>
    <t>Waverley School</t>
  </si>
  <si>
    <t>Bournville School</t>
  </si>
  <si>
    <t>Ark Victoria Academy</t>
  </si>
  <si>
    <t>Starbank School</t>
  </si>
  <si>
    <t>King Solomon International Business School</t>
  </si>
  <si>
    <t>Washwood Heath Academy</t>
  </si>
  <si>
    <t>Lakey Lane Primary School</t>
  </si>
  <si>
    <t>King Edward VI King's Norton School for Boys</t>
  </si>
  <si>
    <t>Phase</t>
  </si>
  <si>
    <t>School Type</t>
  </si>
  <si>
    <t>Special</t>
  </si>
  <si>
    <t>Pupil referral unit</t>
  </si>
  <si>
    <t>Total Non Chq Bk / EPA Schools</t>
  </si>
  <si>
    <t>Total Chq Bk Schools</t>
  </si>
  <si>
    <t>Totals</t>
  </si>
  <si>
    <t>Resource Base</t>
  </si>
  <si>
    <t>Salix</t>
  </si>
  <si>
    <t>Post 16</t>
  </si>
  <si>
    <t>Less BCC Insurance / ESFA RPA</t>
  </si>
  <si>
    <t>Less Salix</t>
  </si>
  <si>
    <t>Link to Backup</t>
  </si>
  <si>
    <t>2024/25 Indicative Budget</t>
  </si>
  <si>
    <t>2024/25 Schools LA Funding Statement</t>
  </si>
  <si>
    <t>2024/25 Schools Grant Payment Summary</t>
  </si>
  <si>
    <t>Senior Mental Health Leads Training May 24</t>
  </si>
  <si>
    <t>The calculation of the provisional monthly instalment figure is based on confirmed LA funding allocations.</t>
  </si>
  <si>
    <t>ETA4 Balance</t>
  </si>
  <si>
    <t>Instalment Actuals</t>
  </si>
  <si>
    <t>Grants Actuals</t>
  </si>
  <si>
    <t>ESN</t>
  </si>
  <si>
    <t>CRISP</t>
  </si>
  <si>
    <t>Falling Rolls</t>
  </si>
  <si>
    <t>Apr Actual</t>
  </si>
  <si>
    <t>May Actual</t>
  </si>
  <si>
    <t>Jun Actual</t>
  </si>
  <si>
    <t>Jul Actual</t>
  </si>
  <si>
    <t>PFI (based on 23/24)</t>
  </si>
  <si>
    <t>3&amp;4 Year Old Funding</t>
  </si>
  <si>
    <t>Deprivation Funding Total</t>
  </si>
  <si>
    <t>Free School Meals Funding</t>
  </si>
  <si>
    <t>2 Year Old Funding</t>
  </si>
  <si>
    <t>Maintained Supplement Funding</t>
  </si>
  <si>
    <t>Total Including DAF</t>
  </si>
  <si>
    <t>EYPP Total</t>
  </si>
  <si>
    <t>Y:\Schools and Fair Funding Team Documents\Web Uploads Budgets\Early Years 2024-25 Upload\Early Years Single Funding Formula Indicative Allocation 2425 v2.xlsx</t>
  </si>
  <si>
    <t>Early Years 24/25 Indicative</t>
  </si>
  <si>
    <t>Aug Actual</t>
  </si>
  <si>
    <t>Sep Actual</t>
  </si>
  <si>
    <t>Oct Actual</t>
  </si>
  <si>
    <t>Nov Actual</t>
  </si>
  <si>
    <t>Dec Actual</t>
  </si>
  <si>
    <t>Jan Actual</t>
  </si>
  <si>
    <t>Feb Actual</t>
  </si>
  <si>
    <t>Mar Actual</t>
  </si>
  <si>
    <t>2024/25 Schools High Needs Indicative</t>
  </si>
  <si>
    <t>2024/25 Schools Early Years Indicative</t>
  </si>
  <si>
    <t>Total High Needs</t>
  </si>
  <si>
    <t>TPEG/TPAG</t>
  </si>
  <si>
    <t>Place Funding</t>
  </si>
  <si>
    <t>Top Up Funding</t>
  </si>
  <si>
    <t>Y:\Schools and Fair Funding Team Documents\Insurance RPA\2024-25\Insurance Charges 24-25 WP.xlsx</t>
  </si>
  <si>
    <t>EY 3-4 YO</t>
  </si>
  <si>
    <t>EY FSM</t>
  </si>
  <si>
    <t>EY Maintained Supplementary</t>
  </si>
  <si>
    <t>Indicative from Web Upload Budgets 2024/25</t>
  </si>
  <si>
    <t>Indicative Web Upload Budgets 2023/24</t>
  </si>
  <si>
    <t>Original Calculation</t>
  </si>
  <si>
    <t>Less PFI</t>
  </si>
  <si>
    <t>2024/25 Schools Adjustments</t>
  </si>
  <si>
    <t>Total Insurance</t>
  </si>
  <si>
    <t>RPA Adjustment</t>
  </si>
  <si>
    <t>Jun Adjustment 24/25 (correct BCC charges)</t>
  </si>
  <si>
    <t>Original Funding Statements</t>
  </si>
  <si>
    <t>High Needs Indicative Top up Funding*</t>
  </si>
  <si>
    <t>High Needs Indicative TPAG/TPEG</t>
  </si>
  <si>
    <t>Updated Funding Statements</t>
  </si>
  <si>
    <t>SSF High Value Courses Premium</t>
  </si>
  <si>
    <t>Funding Statement</t>
  </si>
  <si>
    <t>Core Programme Funding</t>
  </si>
  <si>
    <t>Conditions of Funding Adjustment</t>
  </si>
  <si>
    <t>Industry Placements</t>
  </si>
  <si>
    <t>Student Financial Support</t>
  </si>
  <si>
    <t>16 to 19 Tuition Funding</t>
  </si>
  <si>
    <t>23/24 Funding Statements</t>
  </si>
  <si>
    <t>T Level Industry Placements</t>
  </si>
  <si>
    <t>24/25 Funding Statements</t>
  </si>
  <si>
    <t>Core Maths Premium</t>
  </si>
  <si>
    <t>2024/25 Schools Post 16 Indicative</t>
  </si>
  <si>
    <t>Add: Sixth Form Funding</t>
  </si>
  <si>
    <t>Add: Sixth Form Funding 23/24 (4/12ths)</t>
  </si>
  <si>
    <t>Add: Sixth Form Funding 24/25 (8/12ths)</t>
  </si>
  <si>
    <t>Aug 24 Adjustments</t>
  </si>
  <si>
    <t>Jul 24 Adjustments</t>
  </si>
  <si>
    <t>Jun 24 Adjustments</t>
  </si>
  <si>
    <t xml:space="preserve">Mar 25 Adjustments </t>
  </si>
  <si>
    <t>Apr 24 Adjustments</t>
  </si>
  <si>
    <t>E28b</t>
  </si>
  <si>
    <t>E28a</t>
  </si>
  <si>
    <t>Professional Services PFI</t>
  </si>
  <si>
    <t>Professional Services Not PFI</t>
  </si>
  <si>
    <t>July Adjustment</t>
  </si>
  <si>
    <t>Resource Base Funding</t>
  </si>
  <si>
    <t>Teachers Pay Grant May 24</t>
  </si>
  <si>
    <t>Teachers Pension Grant Special May 24</t>
  </si>
  <si>
    <t>Place</t>
  </si>
  <si>
    <t>Top Up</t>
  </si>
  <si>
    <t>July Figures</t>
  </si>
  <si>
    <t>PAID</t>
  </si>
  <si>
    <t>ESN SMR</t>
  </si>
  <si>
    <t>National Tutoring Programme Jun 24</t>
  </si>
  <si>
    <t>Senior Mental Health Leads Training  Jun 2024</t>
  </si>
  <si>
    <t>Resource Base Adjustment</t>
  </si>
  <si>
    <t>July</t>
  </si>
  <si>
    <t>PPQ1 2024-25</t>
  </si>
  <si>
    <t>UIFSM 23-24 Final</t>
  </si>
  <si>
    <t>Recovery Premium Jun 24</t>
  </si>
  <si>
    <t>Universal Infant Free School Meals 24/25 Provisional</t>
  </si>
  <si>
    <t>Universal Infant Free School Meals 23/24 Final</t>
  </si>
  <si>
    <t>UIFSM 2024-25 Provisional</t>
  </si>
  <si>
    <t xml:space="preserve">The High Needs funding update in Jul is to reflect up-to-date indicative 2024/25 budgets. </t>
  </si>
  <si>
    <t xml:space="preserve">The Early Years funding update in Jul is to reflect indicative 2024/25 budgets. The Apr-Jun instalment was calculated using 2023/24 indicative allocations. </t>
  </si>
  <si>
    <t>CRISP SMR24</t>
  </si>
  <si>
    <t>Teacher's Pension Employer Contribution (16-19) Grant</t>
  </si>
  <si>
    <t>TPSECG 16 to 19 June 24</t>
  </si>
  <si>
    <t>Teaches' Pension Employer Contribution Grant Special</t>
  </si>
  <si>
    <t>Teachers' pay additional grant Special</t>
  </si>
  <si>
    <t>TPAG Special Jun 24</t>
  </si>
  <si>
    <t>GROWTH FUND APR24 - AUG24</t>
  </si>
  <si>
    <t>GROWTH FUND SEP24 - MAR25</t>
  </si>
  <si>
    <t>FALLING PUPILS SEP24 - MAR25</t>
  </si>
  <si>
    <t>Updated Statements</t>
  </si>
  <si>
    <t>Actual 4/12</t>
  </si>
  <si>
    <t>Sep Adjustment</t>
  </si>
  <si>
    <t>The insurance charge update in Jul is to reflect actual 2024/25 BCC charges as some schools were calculated incorrectly at the beginning of the year.</t>
  </si>
  <si>
    <t xml:space="preserve">The Sixth Form Funding update in Sep is to reflect up to date 23/24 funding statements. </t>
  </si>
  <si>
    <t>The insurance charge update in Sep is to reflect ESFA RPA charges.</t>
  </si>
  <si>
    <t>OTHER DSG FUNDING</t>
  </si>
  <si>
    <t>High Needs Resource Base Funding Place</t>
  </si>
  <si>
    <t>Recovery Premium Funding 2022/23 not allocated</t>
  </si>
  <si>
    <t>High Needs Resource Base Top-up Funding</t>
  </si>
  <si>
    <t>Teachers' Pay Grant - Early Years</t>
  </si>
  <si>
    <t>1st Oct</t>
  </si>
  <si>
    <t>Early Years TPAG 23/24</t>
  </si>
  <si>
    <t>As at 02 Oct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</si>
</sst>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_)"/>
    <numFmt numFmtId="165" formatCode="_-* #,##0_-;\-* #,##0_-;_-* &quot;-&quot;??_-;_-@_-"/>
    <numFmt numFmtId="166" formatCode="_-[$€-2]* #,##0.00_-;\-[$€-2]* #,##0.00_-;_-[$€-2]* &quot;-&quot;??_-"/>
    <numFmt numFmtId="167" formatCode="_(&quot;$&quot;* #,##0.00_);_(&quot;$&quot;* \(#,##0.00\);_(&quot;$&quot;* &quot;-&quot;??_);_(@_)"/>
    <numFmt numFmtId="168" formatCode="_(&quot;£&quot;* #,##0.00_);_(&quot;£&quot;* \(#,##0.00\);_(&quot;£&quot;* &quot;-&quot;??_);_(@_)"/>
    <numFmt numFmtId="169" formatCode="&quot;£&quot;#,##0"/>
    <numFmt numFmtId="170" formatCode="&quot;£&quot;#,##0.00"/>
    <numFmt numFmtId="171" formatCode="&quot;£&quot;#,##0_);[Red]\(&quot;£&quot;#,##0\)"/>
    <numFmt numFmtId="172" formatCode="#,##0;\(#,##0\)"/>
    <numFmt numFmtId="173" formatCode="_-* #,##0_-;* \(#,##0\)_-;_-* &quot;-&quot;_-;_-@_-"/>
    <numFmt numFmtId="174" formatCode="_(* #,##0.00_);_(* \(#,##0.00\);_(* &quot;-&quot;??_);_(@_)"/>
    <numFmt numFmtId="175" formatCode="&quot; &quot;#,##0.00&quot; &quot;;&quot;-&quot;#,##0.00&quot; &quot;;&quot; -&quot;00&quot; &quot;;&quot; &quot;@&quot; &quot;"/>
    <numFmt numFmtId="176" formatCode="#,##0.00_ ;[Red]\-#,##0.00\ "/>
    <numFmt numFmtId="177" formatCode="#,##0.00;[Red]\(#,##0.00\)"/>
    <numFmt numFmtId="178" formatCode="#,##0;[Red]\(#,##0\)"/>
    <numFmt numFmtId="179" formatCode="#,##0.00000;[Red]\(#,##0.00000\)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sz val="11"/>
      <name val="Myriad Pro Light"/>
      <family val="2"/>
    </font>
    <font>
      <sz val="12"/>
      <color theme="1"/>
      <name val="Arial"/>
      <family val="2"/>
    </font>
    <font>
      <sz val="10"/>
      <color indexed="21"/>
      <name val="System"/>
      <family val="2"/>
    </font>
    <font>
      <i/>
      <sz val="11"/>
      <color indexed="23"/>
      <name val="Calibri"/>
      <family val="2"/>
    </font>
    <font>
      <sz val="9"/>
      <color indexed="18"/>
      <name val="Arial"/>
      <family val="2"/>
    </font>
    <font>
      <sz val="11"/>
      <color indexed="17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18"/>
      <name val="System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i/>
      <sz val="10"/>
      <color indexed="17"/>
      <name val="System"/>
      <family val="2"/>
    </font>
    <font>
      <sz val="11"/>
      <color indexed="60"/>
      <name val="Calibri"/>
      <family val="2"/>
    </font>
    <font>
      <sz val="12"/>
      <name val="Helv"/>
    </font>
    <font>
      <sz val="8"/>
      <color indexed="72"/>
      <name val="MS Sans Serif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sz val="10"/>
      <color indexed="14"/>
      <name val="System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sz val="10"/>
      <color indexed="17"/>
      <name val="System"/>
      <family val="2"/>
    </font>
    <font>
      <sz val="11"/>
      <color indexed="10"/>
      <name val="Calibri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3"/>
      <name val="Calibri"/>
      <family val="2"/>
      <scheme val="minor"/>
    </font>
    <font>
      <sz val="12"/>
      <color indexed="9"/>
      <name val="Arial"/>
      <family val="2"/>
    </font>
    <font>
      <sz val="12"/>
      <color theme="0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9"/>
      <name val="Times New Roman"/>
      <family val="1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9"/>
      <color indexed="12"/>
      <name val="Times New Roman"/>
      <family val="1"/>
    </font>
    <font>
      <u/>
      <sz val="10"/>
      <color theme="11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7.5"/>
      <color indexed="12"/>
      <name val="Arial"/>
      <family val="2"/>
    </font>
    <font>
      <u/>
      <sz val="10"/>
      <color rgb="FF0000FF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2"/>
      <name val="Myriad Pro"/>
      <family val="2"/>
    </font>
    <font>
      <sz val="8"/>
      <color rgb="FF000000"/>
      <name val="MS Sans Serif"/>
      <family val="2"/>
    </font>
    <font>
      <sz val="10"/>
      <color indexed="8"/>
      <name val="Arial"/>
      <family val="2"/>
    </font>
    <font>
      <sz val="8"/>
      <color theme="1"/>
      <name val="Arial Narrow"/>
      <family val="2"/>
    </font>
    <font>
      <sz val="10"/>
      <name val="Tahoma"/>
      <family val="2"/>
    </font>
    <font>
      <b/>
      <sz val="12"/>
      <color indexed="63"/>
      <name val="Arial"/>
      <family val="2"/>
    </font>
    <font>
      <b/>
      <sz val="18"/>
      <color indexed="8"/>
      <name val="Cambria"/>
      <family val="1"/>
    </font>
    <font>
      <b/>
      <sz val="9"/>
      <name val="Times New Roman"/>
      <family val="1"/>
    </font>
    <font>
      <sz val="12"/>
      <color indexed="10"/>
      <name val="Arial"/>
      <family val="2"/>
    </font>
    <font>
      <i/>
      <sz val="11"/>
      <color theme="1"/>
      <name val="Calibri"/>
      <family val="2"/>
      <scheme val="minor"/>
    </font>
    <font>
      <b/>
      <i/>
      <sz val="13"/>
      <color theme="3"/>
      <name val="Calibri"/>
      <family val="2"/>
      <scheme val="minor"/>
    </font>
    <font>
      <b/>
      <u/>
      <sz val="10"/>
      <color indexed="8"/>
      <name val="Tahoma"/>
      <family val="2"/>
    </font>
    <font>
      <sz val="10"/>
      <name val="Courier"/>
      <family val="3"/>
    </font>
    <font>
      <sz val="10"/>
      <name val="MS Sans Serif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9C650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4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FEB9C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0007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3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97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5" applyNumberFormat="0" applyAlignment="0" applyProtection="0"/>
    <xf numFmtId="0" fontId="12" fillId="0" borderId="0" applyNumberFormat="0" applyFont="0" applyFill="0" applyBorder="0" applyProtection="0">
      <alignment horizontal="centerContinuous" wrapText="1"/>
    </xf>
    <xf numFmtId="0" fontId="13" fillId="22" borderId="6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>
      <protection locked="0"/>
    </xf>
    <xf numFmtId="166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" fontId="1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19" fillId="5" borderId="0" applyNumberFormat="0" applyBorder="0" applyAlignment="0" applyProtection="0"/>
    <xf numFmtId="0" fontId="20" fillId="0" borderId="0">
      <alignment horizontal="center" vertical="center" wrapText="1"/>
    </xf>
    <xf numFmtId="0" fontId="21" fillId="0" borderId="7">
      <alignment horizontal="center" vertical="center" wrapText="1"/>
    </xf>
    <xf numFmtId="0" fontId="20" fillId="0" borderId="0">
      <alignment horizontal="left" wrapText="1"/>
    </xf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" fontId="27" fillId="0" borderId="0" applyNumberFormat="0" applyFill="0" applyBorder="0" applyAlignment="0" applyProtection="0"/>
    <xf numFmtId="0" fontId="28" fillId="8" borderId="5" applyNumberFormat="0" applyAlignment="0" applyProtection="0"/>
    <xf numFmtId="0" fontId="21" fillId="0" borderId="0">
      <alignment horizontal="left" vertical="center"/>
    </xf>
    <xf numFmtId="0" fontId="21" fillId="0" borderId="0">
      <alignment horizontal="center" vertical="center"/>
    </xf>
    <xf numFmtId="0" fontId="29" fillId="0" borderId="11" applyNumberFormat="0" applyFill="0" applyAlignment="0" applyProtection="0"/>
    <xf numFmtId="10" fontId="30" fillId="0" borderId="12" applyFill="0" applyAlignment="0" applyProtection="0">
      <protection locked="0"/>
    </xf>
    <xf numFmtId="0" fontId="31" fillId="2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6" fillId="0" borderId="0"/>
    <xf numFmtId="0" fontId="33" fillId="0" borderId="0" applyAlignment="0">
      <alignment vertical="top" wrapText="1"/>
      <protection locked="0"/>
    </xf>
    <xf numFmtId="0" fontId="15" fillId="0" borderId="0"/>
    <xf numFmtId="0" fontId="6" fillId="0" borderId="0"/>
    <xf numFmtId="0" fontId="15" fillId="0" borderId="0"/>
    <xf numFmtId="0" fontId="15" fillId="0" borderId="0"/>
    <xf numFmtId="0" fontId="34" fillId="0" borderId="0"/>
    <xf numFmtId="0" fontId="7" fillId="0" borderId="0"/>
    <xf numFmtId="0" fontId="6" fillId="0" borderId="0"/>
    <xf numFmtId="0" fontId="15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 applyNumberFormat="0" applyFont="0" applyFill="0" applyBorder="0" applyAlignment="0" applyProtection="0"/>
    <xf numFmtId="0" fontId="14" fillId="0" borderId="0"/>
    <xf numFmtId="0" fontId="6" fillId="0" borderId="0"/>
    <xf numFmtId="0" fontId="3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3" fontId="21" fillId="0" borderId="0">
      <alignment horizontal="right"/>
    </xf>
    <xf numFmtId="0" fontId="37" fillId="21" borderId="14" applyNumberFormat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1" fontId="38" fillId="0" borderId="15" applyNumberFormat="0" applyFill="0" applyBorder="0" applyAlignment="0" applyProtection="0"/>
    <xf numFmtId="0" fontId="6" fillId="0" borderId="0"/>
    <xf numFmtId="0" fontId="21" fillId="0" borderId="16" applyBorder="0">
      <alignment horizontal="right"/>
    </xf>
    <xf numFmtId="167" fontId="6" fillId="0" borderId="0"/>
    <xf numFmtId="167" fontId="6" fillId="0" borderId="0"/>
    <xf numFmtId="167" fontId="6" fillId="0" borderId="0"/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/>
    <xf numFmtId="9" fontId="6" fillId="0" borderId="0" applyFont="0" applyFill="0" applyBorder="0" applyAlignment="0" applyProtection="0"/>
    <xf numFmtId="0" fontId="6" fillId="0" borderId="0"/>
    <xf numFmtId="0" fontId="51" fillId="30" borderId="0" applyNumberFormat="0" applyFont="0" applyBorder="0" applyAlignment="0" applyProtection="0"/>
    <xf numFmtId="0" fontId="51" fillId="31" borderId="0" applyNumberFormat="0" applyFont="0" applyBorder="0" applyAlignment="0" applyProtection="0"/>
    <xf numFmtId="0" fontId="51" fillId="30" borderId="0" applyNumberFormat="0" applyFont="0" applyBorder="0" applyAlignment="0" applyProtection="0"/>
    <xf numFmtId="0" fontId="51" fillId="30" borderId="0" applyNumberFormat="0" applyFont="0" applyBorder="0" applyAlignment="0" applyProtection="0"/>
    <xf numFmtId="0" fontId="51" fillId="32" borderId="0" applyNumberFormat="0" applyFont="0" applyBorder="0" applyAlignment="0" applyProtection="0"/>
    <xf numFmtId="0" fontId="51" fillId="33" borderId="0" applyNumberFormat="0" applyFont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0" fontId="51" fillId="0" borderId="0" applyNumberFormat="0" applyBorder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34" fillId="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1" fillId="37" borderId="0" applyNumberFormat="0" applyBorder="0" applyAlignment="0" applyProtection="0"/>
    <xf numFmtId="0" fontId="34" fillId="10" borderId="0" applyNumberFormat="0" applyBorder="0" applyAlignment="0" applyProtection="0"/>
    <xf numFmtId="0" fontId="1" fillId="38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3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5" fillId="3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6" fillId="4" borderId="0" applyNumberFormat="0" applyBorder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57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11" fillId="21" borderId="5" applyNumberFormat="0" applyAlignment="0" applyProtection="0"/>
    <xf numFmtId="0" fontId="58" fillId="22" borderId="6" applyNumberFormat="0" applyAlignment="0" applyProtection="0"/>
    <xf numFmtId="0" fontId="13" fillId="22" borderId="6" applyNumberFormat="0" applyAlignment="0" applyProtection="0"/>
    <xf numFmtId="0" fontId="59" fillId="34" borderId="29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5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1" fillId="0" borderId="0">
      <alignment horizontal="left"/>
    </xf>
    <xf numFmtId="0" fontId="62" fillId="39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42" fontId="3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alignment horizontal="center" vertical="center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21" fillId="0" borderId="7">
      <alignment horizontal="center" vertical="center" wrapText="1"/>
    </xf>
    <xf numFmtId="0" fontId="67" fillId="0" borderId="8" applyNumberFormat="0" applyFill="0" applyAlignment="0" applyProtection="0"/>
    <xf numFmtId="0" fontId="68" fillId="0" borderId="9" applyNumberFormat="0" applyFill="0" applyAlignment="0" applyProtection="0"/>
    <xf numFmtId="0" fontId="69" fillId="0" borderId="10" applyNumberFormat="0" applyFill="0" applyAlignment="0" applyProtection="0"/>
    <xf numFmtId="0" fontId="6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72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1" fillId="0" borderId="0">
      <alignment horizontal="left" vertical="center"/>
    </xf>
    <xf numFmtId="0" fontId="21" fillId="0" borderId="0">
      <alignment horizontal="center" vertical="center"/>
    </xf>
    <xf numFmtId="0" fontId="73" fillId="0" borderId="11" applyNumberFormat="0" applyFill="0" applyAlignment="0" applyProtection="0"/>
    <xf numFmtId="0" fontId="74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75" fillId="0" borderId="0"/>
    <xf numFmtId="0" fontId="34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1" fillId="0" borderId="0"/>
    <xf numFmtId="0" fontId="34" fillId="0" borderId="0"/>
    <xf numFmtId="0" fontId="15" fillId="0" borderId="0"/>
    <xf numFmtId="0" fontId="1" fillId="0" borderId="0"/>
    <xf numFmtId="0" fontId="51" fillId="0" borderId="0" applyNumberFormat="0" applyFont="0" applyBorder="0" applyProtection="0"/>
    <xf numFmtId="0" fontId="6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35" fillId="0" borderId="0"/>
    <xf numFmtId="0" fontId="15" fillId="0" borderId="0"/>
    <xf numFmtId="0" fontId="33" fillId="0" borderId="0" applyAlignment="0">
      <alignment vertical="top" wrapText="1"/>
      <protection locked="0"/>
    </xf>
    <xf numFmtId="0" fontId="1" fillId="0" borderId="0"/>
    <xf numFmtId="0" fontId="76" fillId="0" borderId="0" applyNumberFormat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50" fillId="0" borderId="0"/>
    <xf numFmtId="0" fontId="1" fillId="0" borderId="0"/>
    <xf numFmtId="0" fontId="50" fillId="0" borderId="0"/>
    <xf numFmtId="0" fontId="34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4" fillId="0" borderId="0"/>
    <xf numFmtId="0" fontId="34" fillId="0" borderId="0"/>
    <xf numFmtId="0" fontId="7" fillId="0" borderId="0"/>
    <xf numFmtId="0" fontId="15" fillId="0" borderId="0"/>
    <xf numFmtId="0" fontId="7" fillId="0" borderId="0"/>
    <xf numFmtId="0" fontId="6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35" fillId="0" borderId="0"/>
    <xf numFmtId="0" fontId="1" fillId="0" borderId="0"/>
    <xf numFmtId="0" fontId="6" fillId="0" borderId="0"/>
    <xf numFmtId="0" fontId="15" fillId="0" borderId="0"/>
    <xf numFmtId="0" fontId="15" fillId="0" borderId="0"/>
    <xf numFmtId="0" fontId="1" fillId="0" borderId="0"/>
    <xf numFmtId="0" fontId="34" fillId="0" borderId="0"/>
    <xf numFmtId="0" fontId="6" fillId="0" borderId="0"/>
    <xf numFmtId="0" fontId="6" fillId="0" borderId="0"/>
    <xf numFmtId="0" fontId="36" fillId="0" borderId="0"/>
    <xf numFmtId="0" fontId="15" fillId="0" borderId="0"/>
    <xf numFmtId="0" fontId="6" fillId="0" borderId="0"/>
    <xf numFmtId="0" fontId="78" fillId="0" borderId="0"/>
    <xf numFmtId="0" fontId="6" fillId="0" borderId="0"/>
    <xf numFmtId="0" fontId="79" fillId="0" borderId="0"/>
    <xf numFmtId="0" fontId="6" fillId="0" borderId="0"/>
    <xf numFmtId="0" fontId="60" fillId="0" borderId="0"/>
    <xf numFmtId="0" fontId="34" fillId="0" borderId="0"/>
    <xf numFmtId="0" fontId="1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4" fontId="61" fillId="0" borderId="0">
      <alignment horizontal="right"/>
    </xf>
    <xf numFmtId="0" fontId="61" fillId="0" borderId="0">
      <alignment horizontal="left"/>
    </xf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0" fontId="6" fillId="24" borderId="13" applyNumberFormat="0" applyFont="0" applyAlignment="0" applyProtection="0"/>
    <xf numFmtId="3" fontId="21" fillId="0" borderId="0">
      <alignment horizontal="right"/>
    </xf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80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0" fontId="37" fillId="21" borderId="14" applyNumberForma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" fillId="0" borderId="0"/>
    <xf numFmtId="0" fontId="6" fillId="0" borderId="0"/>
    <xf numFmtId="0" fontId="35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62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4" fontId="82" fillId="0" borderId="30">
      <alignment horizontal="right"/>
    </xf>
    <xf numFmtId="0" fontId="82" fillId="0" borderId="30">
      <alignment horizontal="left"/>
    </xf>
    <xf numFmtId="0" fontId="8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1" fillId="0" borderId="0"/>
    <xf numFmtId="174" fontId="6" fillId="0" borderId="0" applyFont="0" applyFill="0" applyBorder="0" applyAlignment="0" applyProtection="0"/>
    <xf numFmtId="1" fontId="86" fillId="0" borderId="0"/>
    <xf numFmtId="0" fontId="6" fillId="0" borderId="0" applyBorder="0"/>
    <xf numFmtId="39" fontId="87" fillId="0" borderId="0"/>
    <xf numFmtId="40" fontId="88" fillId="0" borderId="0" applyFont="0" applyFill="0" applyBorder="0" applyAlignment="0" applyProtection="0"/>
    <xf numFmtId="0" fontId="6" fillId="41" borderId="13"/>
    <xf numFmtId="176" fontId="6" fillId="42" borderId="13"/>
    <xf numFmtId="39" fontId="87" fillId="0" borderId="0"/>
    <xf numFmtId="0" fontId="1" fillId="0" borderId="0"/>
    <xf numFmtId="0" fontId="1" fillId="0" borderId="0"/>
    <xf numFmtId="0" fontId="7" fillId="0" borderId="0"/>
    <xf numFmtId="39" fontId="87" fillId="0" borderId="0"/>
    <xf numFmtId="39" fontId="87" fillId="0" borderId="0"/>
    <xf numFmtId="39" fontId="87" fillId="0" borderId="0"/>
    <xf numFmtId="39" fontId="87" fillId="0" borderId="0"/>
    <xf numFmtId="1" fontId="86" fillId="0" borderId="0"/>
    <xf numFmtId="1" fontId="86" fillId="0" borderId="0"/>
    <xf numFmtId="0" fontId="6" fillId="0" borderId="0" applyBorder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3" fillId="0" borderId="0" applyAlignment="0">
      <alignment vertical="top" wrapText="1"/>
      <protection locked="0"/>
    </xf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14" fillId="0" borderId="0"/>
    <xf numFmtId="0" fontId="6" fillId="0" borderId="0"/>
    <xf numFmtId="0" fontId="5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94" fillId="46" borderId="0" applyNumberFormat="0" applyBorder="0" applyAlignment="0" applyProtection="0"/>
    <xf numFmtId="0" fontId="55" fillId="45" borderId="0" applyNumberFormat="0" applyBorder="0" applyAlignment="0" applyProtection="0"/>
    <xf numFmtId="0" fontId="95" fillId="0" borderId="0"/>
    <xf numFmtId="0" fontId="1" fillId="0" borderId="0"/>
    <xf numFmtId="0" fontId="101" fillId="0" borderId="0"/>
  </cellStyleXfs>
  <cellXfs count="437">
    <xf numFmtId="0" fontId="0" fillId="0" borderId="0" xfId="0"/>
    <xf numFmtId="0" fontId="2" fillId="0" borderId="0" xfId="0" applyFont="1"/>
    <xf numFmtId="0" fontId="2" fillId="2" borderId="4" xfId="0" applyFont="1" applyFill="1" applyBorder="1" applyAlignment="1">
      <alignment horizontal="left" vertical="center"/>
    </xf>
    <xf numFmtId="0" fontId="4" fillId="0" borderId="1" xfId="0" quotePrefix="1" applyFont="1" applyBorder="1"/>
    <xf numFmtId="0" fontId="0" fillId="0" borderId="1" xfId="0" applyBorder="1"/>
    <xf numFmtId="0" fontId="4" fillId="0" borderId="1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0" fillId="0" borderId="2" xfId="0" applyBorder="1"/>
    <xf numFmtId="0" fontId="0" fillId="0" borderId="0" xfId="0" applyAlignment="1">
      <alignment horizontal="left"/>
    </xf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165" fontId="0" fillId="0" borderId="0" xfId="1" applyNumberFormat="1" applyFont="1" applyFill="1" applyBorder="1"/>
    <xf numFmtId="0" fontId="3" fillId="0" borderId="0" xfId="0" applyFont="1"/>
    <xf numFmtId="0" fontId="44" fillId="0" borderId="0" xfId="0" applyFont="1"/>
    <xf numFmtId="0" fontId="0" fillId="0" borderId="20" xfId="0" applyBorder="1"/>
    <xf numFmtId="0" fontId="2" fillId="0" borderId="21" xfId="0" applyFont="1" applyBorder="1"/>
    <xf numFmtId="0" fontId="3" fillId="0" borderId="21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/>
    <xf numFmtId="0" fontId="47" fillId="0" borderId="18" xfId="0" applyFont="1" applyBorder="1"/>
    <xf numFmtId="0" fontId="0" fillId="0" borderId="0" xfId="0" applyAlignment="1">
      <alignment horizontal="center"/>
    </xf>
    <xf numFmtId="0" fontId="47" fillId="0" borderId="0" xfId="0" applyFont="1"/>
    <xf numFmtId="0" fontId="46" fillId="0" borderId="0" xfId="0" applyFont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44" fillId="0" borderId="21" xfId="0" applyFont="1" applyBorder="1"/>
    <xf numFmtId="0" fontId="2" fillId="0" borderId="23" xfId="0" applyFont="1" applyBorder="1" applyAlignment="1">
      <alignment horizontal="center" vertical="center" wrapText="1"/>
    </xf>
    <xf numFmtId="17" fontId="46" fillId="0" borderId="1" xfId="0" applyNumberFormat="1" applyFont="1" applyBorder="1" applyAlignment="1">
      <alignment horizontal="center" vertical="center" wrapText="1"/>
    </xf>
    <xf numFmtId="165" fontId="47" fillId="0" borderId="1" xfId="1" applyNumberFormat="1" applyFont="1" applyBorder="1" applyAlignment="1">
      <alignment vertical="center" wrapText="1"/>
    </xf>
    <xf numFmtId="173" fontId="47" fillId="0" borderId="1" xfId="1" applyNumberFormat="1" applyFont="1" applyBorder="1" applyAlignment="1">
      <alignment vertical="center" wrapText="1"/>
    </xf>
    <xf numFmtId="43" fontId="0" fillId="0" borderId="0" xfId="0" applyNumberFormat="1"/>
    <xf numFmtId="17" fontId="46" fillId="0" borderId="0" xfId="0" applyNumberFormat="1" applyFont="1" applyAlignment="1">
      <alignment horizontal="center" vertical="center" wrapText="1"/>
    </xf>
    <xf numFmtId="165" fontId="47" fillId="0" borderId="1" xfId="0" applyNumberFormat="1" applyFont="1" applyBorder="1"/>
    <xf numFmtId="0" fontId="46" fillId="0" borderId="0" xfId="0" applyFont="1" applyAlignment="1">
      <alignment vertical="center" wrapText="1"/>
    </xf>
    <xf numFmtId="165" fontId="47" fillId="0" borderId="1" xfId="1" applyNumberFormat="1" applyFont="1" applyFill="1" applyBorder="1" applyAlignment="1">
      <alignment vertical="center" wrapText="1"/>
    </xf>
    <xf numFmtId="0" fontId="44" fillId="0" borderId="1" xfId="0" applyFont="1" applyBorder="1"/>
    <xf numFmtId="165" fontId="46" fillId="0" borderId="1" xfId="0" applyNumberFormat="1" applyFont="1" applyBorder="1"/>
    <xf numFmtId="170" fontId="4" fillId="28" borderId="1" xfId="169" applyNumberFormat="1" applyFont="1" applyFill="1" applyBorder="1" applyAlignment="1" applyProtection="1">
      <alignment horizontal="right"/>
    </xf>
    <xf numFmtId="10" fontId="4" fillId="28" borderId="1" xfId="169" applyNumberFormat="1" applyFont="1" applyFill="1" applyBorder="1" applyAlignment="1" applyProtection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/>
    </xf>
    <xf numFmtId="171" fontId="4" fillId="26" borderId="1" xfId="199" applyNumberFormat="1" applyFont="1" applyFill="1" applyBorder="1" applyAlignment="1" applyProtection="1">
      <alignment horizontal="center" vertical="center" wrapText="1"/>
    </xf>
    <xf numFmtId="171" fontId="4" fillId="26" borderId="18" xfId="199" applyNumberFormat="1" applyFont="1" applyFill="1" applyBorder="1" applyAlignment="1" applyProtection="1">
      <alignment horizontal="center" vertical="center" wrapText="1"/>
    </xf>
    <xf numFmtId="10" fontId="4" fillId="43" borderId="1" xfId="169" applyNumberFormat="1" applyFont="1" applyFill="1" applyBorder="1" applyAlignment="1" applyProtection="1">
      <alignment horizontal="center" vertical="center" wrapText="1"/>
    </xf>
    <xf numFmtId="10" fontId="4" fillId="26" borderId="1" xfId="169" applyNumberFormat="1" applyFont="1" applyFill="1" applyBorder="1" applyAlignment="1" applyProtection="1">
      <alignment horizontal="center" vertical="center" wrapText="1"/>
    </xf>
    <xf numFmtId="4" fontId="4" fillId="28" borderId="1" xfId="169" applyNumberFormat="1" applyFont="1" applyFill="1" applyBorder="1" applyAlignment="1" applyProtection="1">
      <alignment horizontal="right"/>
    </xf>
    <xf numFmtId="10" fontId="4" fillId="28" borderId="1" xfId="3336" applyNumberFormat="1" applyFont="1" applyFill="1" applyBorder="1" applyAlignment="1" applyProtection="1">
      <alignment horizontal="right"/>
    </xf>
    <xf numFmtId="0" fontId="47" fillId="0" borderId="1" xfId="0" applyFont="1" applyBorder="1" applyAlignment="1">
      <alignment wrapText="1"/>
    </xf>
    <xf numFmtId="0" fontId="4" fillId="26" borderId="1" xfId="0" applyFont="1" applyFill="1" applyBorder="1" applyAlignment="1">
      <alignment horizontal="center" vertical="center" wrapText="1"/>
    </xf>
    <xf numFmtId="1" fontId="4" fillId="26" borderId="1" xfId="0" applyNumberFormat="1" applyFont="1" applyFill="1" applyBorder="1" applyAlignment="1">
      <alignment horizontal="center" vertical="center" wrapText="1"/>
    </xf>
    <xf numFmtId="171" fontId="4" fillId="43" borderId="1" xfId="0" applyNumberFormat="1" applyFont="1" applyFill="1" applyBorder="1" applyAlignment="1">
      <alignment horizontal="center" vertical="center" wrapText="1"/>
    </xf>
    <xf numFmtId="171" fontId="4" fillId="26" borderId="1" xfId="0" applyNumberFormat="1" applyFont="1" applyFill="1" applyBorder="1" applyAlignment="1">
      <alignment horizontal="center" vertical="center" wrapText="1"/>
    </xf>
    <xf numFmtId="3" fontId="5" fillId="27" borderId="1" xfId="0" applyNumberFormat="1" applyFont="1" applyFill="1" applyBorder="1" applyAlignment="1">
      <alignment horizontal="right" wrapText="1"/>
    </xf>
    <xf numFmtId="1" fontId="4" fillId="28" borderId="1" xfId="0" applyNumberFormat="1" applyFont="1" applyFill="1" applyBorder="1" applyAlignment="1">
      <alignment horizontal="left"/>
    </xf>
    <xf numFmtId="0" fontId="4" fillId="28" borderId="1" xfId="0" applyFont="1" applyFill="1" applyBorder="1" applyAlignment="1">
      <alignment horizontal="left"/>
    </xf>
    <xf numFmtId="170" fontId="4" fillId="28" borderId="1" xfId="0" applyNumberFormat="1" applyFont="1" applyFill="1" applyBorder="1" applyAlignment="1">
      <alignment horizontal="right"/>
    </xf>
    <xf numFmtId="43" fontId="0" fillId="0" borderId="0" xfId="1" applyFont="1"/>
    <xf numFmtId="44" fontId="0" fillId="0" borderId="0" xfId="0" applyNumberFormat="1"/>
    <xf numFmtId="0" fontId="89" fillId="0" borderId="42" xfId="0" applyFont="1" applyBorder="1" applyProtection="1">
      <protection hidden="1"/>
    </xf>
    <xf numFmtId="0" fontId="47" fillId="0" borderId="46" xfId="0" applyFont="1" applyBorder="1" applyProtection="1">
      <protection hidden="1"/>
    </xf>
    <xf numFmtId="0" fontId="47" fillId="0" borderId="48" xfId="0" applyFont="1" applyBorder="1" applyProtection="1">
      <protection hidden="1"/>
    </xf>
    <xf numFmtId="0" fontId="47" fillId="0" borderId="37" xfId="0" applyFont="1" applyBorder="1" applyProtection="1">
      <protection hidden="1"/>
    </xf>
    <xf numFmtId="0" fontId="85" fillId="0" borderId="4" xfId="0" applyFont="1" applyBorder="1"/>
    <xf numFmtId="0" fontId="2" fillId="0" borderId="0" xfId="0" applyFont="1" applyAlignment="1">
      <alignment horizontal="center"/>
    </xf>
    <xf numFmtId="177" fontId="0" fillId="0" borderId="0" xfId="0" applyNumberFormat="1"/>
    <xf numFmtId="0" fontId="2" fillId="0" borderId="0" xfId="0" applyFont="1" applyAlignment="1">
      <alignment horizontal="right"/>
    </xf>
    <xf numFmtId="170" fontId="4" fillId="0" borderId="1" xfId="0" applyNumberFormat="1" applyFont="1" applyBorder="1" applyAlignment="1">
      <alignment horizontal="left"/>
    </xf>
    <xf numFmtId="164" fontId="4" fillId="0" borderId="36" xfId="0" applyNumberFormat="1" applyFont="1" applyBorder="1" applyAlignment="1">
      <alignment horizontal="left"/>
    </xf>
    <xf numFmtId="170" fontId="2" fillId="0" borderId="54" xfId="0" applyNumberFormat="1" applyFont="1" applyBorder="1"/>
    <xf numFmtId="170" fontId="5" fillId="0" borderId="1" xfId="0" applyNumberFormat="1" applyFont="1" applyBorder="1" applyAlignment="1">
      <alignment horizontal="left"/>
    </xf>
    <xf numFmtId="43" fontId="0" fillId="0" borderId="2" xfId="1" applyFont="1" applyBorder="1"/>
    <xf numFmtId="43" fontId="0" fillId="0" borderId="1" xfId="1" applyFont="1" applyBorder="1"/>
    <xf numFmtId="0" fontId="46" fillId="43" borderId="1" xfId="0" applyFont="1" applyFill="1" applyBorder="1"/>
    <xf numFmtId="0" fontId="46" fillId="48" borderId="1" xfId="0" applyFont="1" applyFill="1" applyBorder="1"/>
    <xf numFmtId="0" fontId="85" fillId="43" borderId="50" xfId="0" applyFont="1" applyFill="1" applyBorder="1"/>
    <xf numFmtId="177" fontId="0" fillId="0" borderId="0" xfId="0" applyNumberFormat="1" applyAlignment="1">
      <alignment horizontal="center"/>
    </xf>
    <xf numFmtId="177" fontId="46" fillId="0" borderId="1" xfId="0" applyNumberFormat="1" applyFont="1" applyBorder="1" applyAlignment="1" applyProtection="1">
      <alignment horizontal="center" vertical="center" wrapText="1"/>
      <protection hidden="1"/>
    </xf>
    <xf numFmtId="177" fontId="0" fillId="0" borderId="0" xfId="1" applyNumberFormat="1" applyFont="1"/>
    <xf numFmtId="177" fontId="47" fillId="0" borderId="1" xfId="1" applyNumberFormat="1" applyFont="1" applyBorder="1" applyProtection="1">
      <protection hidden="1"/>
    </xf>
    <xf numFmtId="177" fontId="46" fillId="48" borderId="1" xfId="1" applyNumberFormat="1" applyFont="1" applyFill="1" applyBorder="1" applyProtection="1">
      <protection hidden="1"/>
    </xf>
    <xf numFmtId="177" fontId="46" fillId="0" borderId="1" xfId="1" applyNumberFormat="1" applyFont="1" applyFill="1" applyBorder="1" applyProtection="1">
      <protection hidden="1"/>
    </xf>
    <xf numFmtId="177" fontId="0" fillId="0" borderId="0" xfId="1" applyNumberFormat="1" applyFont="1" applyAlignment="1">
      <alignment horizontal="center"/>
    </xf>
    <xf numFmtId="177" fontId="46" fillId="43" borderId="1" xfId="1" applyNumberFormat="1" applyFont="1" applyFill="1" applyBorder="1" applyProtection="1">
      <protection hidden="1"/>
    </xf>
    <xf numFmtId="177" fontId="46" fillId="0" borderId="26" xfId="1" applyNumberFormat="1" applyFont="1" applyBorder="1"/>
    <xf numFmtId="177" fontId="47" fillId="0" borderId="0" xfId="1" applyNumberFormat="1" applyFont="1" applyBorder="1"/>
    <xf numFmtId="177" fontId="3" fillId="0" borderId="0" xfId="1" applyNumberFormat="1" applyFont="1"/>
    <xf numFmtId="177" fontId="3" fillId="0" borderId="21" xfId="1" applyNumberFormat="1" applyFont="1" applyBorder="1"/>
    <xf numFmtId="177" fontId="0" fillId="0" borderId="21" xfId="1" applyNumberFormat="1" applyFont="1" applyBorder="1"/>
    <xf numFmtId="177" fontId="0" fillId="0" borderId="22" xfId="0" applyNumberFormat="1" applyBorder="1"/>
    <xf numFmtId="177" fontId="0" fillId="0" borderId="16" xfId="1" applyNumberFormat="1" applyFont="1" applyBorder="1"/>
    <xf numFmtId="177" fontId="0" fillId="0" borderId="24" xfId="0" applyNumberFormat="1" applyBorder="1"/>
    <xf numFmtId="177" fontId="46" fillId="0" borderId="18" xfId="1" applyNumberFormat="1" applyFont="1" applyBorder="1" applyAlignment="1">
      <alignment horizontal="center" vertical="center" wrapText="1"/>
    </xf>
    <xf numFmtId="177" fontId="46" fillId="0" borderId="28" xfId="0" applyNumberFormat="1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7" fontId="47" fillId="0" borderId="1" xfId="1" applyNumberFormat="1" applyFont="1" applyBorder="1"/>
    <xf numFmtId="177" fontId="47" fillId="0" borderId="1" xfId="1" applyNumberFormat="1" applyFont="1" applyFill="1" applyBorder="1" applyAlignment="1">
      <alignment horizontal="right" vertical="center" wrapText="1"/>
    </xf>
    <xf numFmtId="177" fontId="46" fillId="0" borderId="18" xfId="1" applyNumberFormat="1" applyFont="1" applyBorder="1" applyAlignment="1">
      <alignment horizontal="right" vertical="center" wrapText="1"/>
    </xf>
    <xf numFmtId="177" fontId="47" fillId="0" borderId="18" xfId="1" applyNumberFormat="1" applyFont="1" applyBorder="1" applyAlignment="1">
      <alignment horizontal="right" vertical="center" wrapText="1"/>
    </xf>
    <xf numFmtId="177" fontId="46" fillId="0" borderId="28" xfId="1" applyNumberFormat="1" applyFont="1" applyBorder="1" applyAlignment="1">
      <alignment horizontal="center" vertical="center" wrapText="1"/>
    </xf>
    <xf numFmtId="177" fontId="47" fillId="0" borderId="1" xfId="1" applyNumberFormat="1" applyFont="1" applyBorder="1" applyAlignment="1">
      <alignment horizontal="right" vertical="center" wrapText="1"/>
    </xf>
    <xf numFmtId="177" fontId="2" fillId="0" borderId="0" xfId="2" applyNumberFormat="1" applyFont="1" applyFill="1" applyBorder="1" applyAlignment="1">
      <alignment horizontal="center" vertical="center" wrapText="1"/>
    </xf>
    <xf numFmtId="177" fontId="46" fillId="48" borderId="1" xfId="1" applyNumberFormat="1" applyFont="1" applyFill="1" applyBorder="1"/>
    <xf numFmtId="177" fontId="46" fillId="48" borderId="1" xfId="1" applyNumberFormat="1" applyFont="1" applyFill="1" applyBorder="1" applyAlignment="1">
      <alignment horizontal="right" vertical="center" wrapText="1"/>
    </xf>
    <xf numFmtId="177" fontId="46" fillId="48" borderId="18" xfId="1" applyNumberFormat="1" applyFont="1" applyFill="1" applyBorder="1" applyAlignment="1">
      <alignment horizontal="right" vertical="center" wrapText="1"/>
    </xf>
    <xf numFmtId="177" fontId="46" fillId="0" borderId="1" xfId="1" applyNumberFormat="1" applyFont="1" applyBorder="1"/>
    <xf numFmtId="177" fontId="46" fillId="0" borderId="1" xfId="1" applyNumberFormat="1" applyFont="1" applyBorder="1" applyAlignment="1">
      <alignment horizontal="right" vertical="center" wrapText="1"/>
    </xf>
    <xf numFmtId="177" fontId="46" fillId="0" borderId="24" xfId="1" applyNumberFormat="1" applyFont="1" applyBorder="1" applyAlignment="1">
      <alignment horizontal="center" vertical="center" wrapText="1"/>
    </xf>
    <xf numFmtId="177" fontId="47" fillId="0" borderId="1" xfId="1" applyNumberFormat="1" applyFont="1" applyBorder="1" applyAlignment="1" applyProtection="1">
      <alignment horizontal="right" wrapText="1"/>
      <protection hidden="1"/>
    </xf>
    <xf numFmtId="177" fontId="46" fillId="43" borderId="51" xfId="1" applyNumberFormat="1" applyFont="1" applyFill="1" applyBorder="1"/>
    <xf numFmtId="177" fontId="46" fillId="43" borderId="51" xfId="1" applyNumberFormat="1" applyFont="1" applyFill="1" applyBorder="1" applyAlignment="1" applyProtection="1">
      <alignment horizontal="right" vertical="center" wrapText="1"/>
      <protection hidden="1"/>
    </xf>
    <xf numFmtId="177" fontId="46" fillId="43" borderId="41" xfId="1" applyNumberFormat="1" applyFont="1" applyFill="1" applyBorder="1" applyAlignment="1" applyProtection="1">
      <alignment horizontal="right" vertical="center" wrapText="1"/>
      <protection hidden="1"/>
    </xf>
    <xf numFmtId="177" fontId="46" fillId="0" borderId="4" xfId="1" applyNumberFormat="1" applyFont="1" applyBorder="1"/>
    <xf numFmtId="177" fontId="46" fillId="0" borderId="4" xfId="1" applyNumberFormat="1" applyFont="1" applyBorder="1" applyAlignment="1">
      <alignment horizontal="right" vertical="center" wrapText="1"/>
    </xf>
    <xf numFmtId="177" fontId="46" fillId="0" borderId="44" xfId="1" applyNumberFormat="1" applyFont="1" applyFill="1" applyBorder="1" applyAlignment="1">
      <alignment horizontal="right" vertical="center" wrapText="1"/>
    </xf>
    <xf numFmtId="177" fontId="46" fillId="0" borderId="18" xfId="1" applyNumberFormat="1" applyFont="1" applyFill="1" applyBorder="1" applyAlignment="1">
      <alignment horizontal="right" vertical="center" wrapText="1"/>
    </xf>
    <xf numFmtId="177" fontId="47" fillId="0" borderId="1" xfId="1" applyNumberFormat="1" applyFont="1" applyBorder="1" applyAlignment="1" applyProtection="1">
      <alignment horizontal="right" vertical="center" wrapText="1"/>
      <protection hidden="1"/>
    </xf>
    <xf numFmtId="177" fontId="47" fillId="0" borderId="1" xfId="1" applyNumberFormat="1" applyFont="1" applyFill="1" applyBorder="1" applyAlignment="1" applyProtection="1">
      <alignment horizontal="right" vertical="center" wrapText="1"/>
      <protection hidden="1"/>
    </xf>
    <xf numFmtId="177" fontId="46" fillId="48" borderId="1" xfId="1" applyNumberFormat="1" applyFont="1" applyFill="1" applyBorder="1" applyAlignment="1" applyProtection="1">
      <alignment horizontal="right" vertical="center" wrapText="1"/>
      <protection hidden="1"/>
    </xf>
    <xf numFmtId="177" fontId="46" fillId="43" borderId="1" xfId="1" applyNumberFormat="1" applyFont="1" applyFill="1" applyBorder="1"/>
    <xf numFmtId="177" fontId="46" fillId="43" borderId="1" xfId="1" applyNumberFormat="1" applyFont="1" applyFill="1" applyBorder="1" applyAlignment="1">
      <alignment horizontal="right" vertical="center" wrapText="1"/>
    </xf>
    <xf numFmtId="177" fontId="47" fillId="48" borderId="1" xfId="1" applyNumberFormat="1" applyFont="1" applyFill="1" applyBorder="1"/>
    <xf numFmtId="177" fontId="47" fillId="48" borderId="1" xfId="1" applyNumberFormat="1" applyFont="1" applyFill="1" applyBorder="1" applyAlignment="1" applyProtection="1">
      <alignment horizontal="right" vertical="center" wrapText="1"/>
      <protection hidden="1"/>
    </xf>
    <xf numFmtId="177" fontId="47" fillId="48" borderId="1" xfId="1" applyNumberFormat="1" applyFont="1" applyFill="1" applyBorder="1" applyAlignment="1">
      <alignment horizontal="right" vertical="center" wrapText="1"/>
    </xf>
    <xf numFmtId="177" fontId="49" fillId="0" borderId="24" xfId="0" applyNumberFormat="1" applyFont="1" applyBorder="1"/>
    <xf numFmtId="177" fontId="46" fillId="0" borderId="45" xfId="1" applyNumberFormat="1" applyFont="1" applyBorder="1" applyProtection="1">
      <protection hidden="1"/>
    </xf>
    <xf numFmtId="177" fontId="46" fillId="0" borderId="45" xfId="1" applyNumberFormat="1" applyFont="1" applyBorder="1" applyAlignment="1" applyProtection="1">
      <alignment horizontal="right" vertical="center" wrapText="1"/>
    </xf>
    <xf numFmtId="177" fontId="46" fillId="0" borderId="47" xfId="1" applyNumberFormat="1" applyFont="1" applyBorder="1" applyProtection="1">
      <protection hidden="1"/>
    </xf>
    <xf numFmtId="177" fontId="46" fillId="0" borderId="47" xfId="1" applyNumberFormat="1" applyFont="1" applyBorder="1" applyAlignment="1" applyProtection="1">
      <alignment horizontal="right" vertical="center" wrapText="1"/>
      <protection hidden="1"/>
    </xf>
    <xf numFmtId="177" fontId="46" fillId="0" borderId="43" xfId="1" applyNumberFormat="1" applyFont="1" applyBorder="1" applyAlignment="1" applyProtection="1">
      <alignment horizontal="right" vertical="center" wrapText="1"/>
      <protection hidden="1"/>
    </xf>
    <xf numFmtId="177" fontId="46" fillId="0" borderId="43" xfId="1" applyNumberFormat="1" applyFont="1" applyBorder="1" applyProtection="1">
      <protection hidden="1"/>
    </xf>
    <xf numFmtId="177" fontId="46" fillId="0" borderId="39" xfId="1" applyNumberFormat="1" applyFont="1" applyBorder="1" applyProtection="1">
      <protection hidden="1"/>
    </xf>
    <xf numFmtId="177" fontId="46" fillId="0" borderId="39" xfId="1" applyNumberFormat="1" applyFont="1" applyBorder="1" applyAlignment="1" applyProtection="1">
      <alignment horizontal="right" vertical="center" wrapText="1"/>
      <protection hidden="1"/>
    </xf>
    <xf numFmtId="177" fontId="0" fillId="0" borderId="26" xfId="0" applyNumberFormat="1" applyBorder="1"/>
    <xf numFmtId="177" fontId="0" fillId="0" borderId="27" xfId="0" applyNumberFormat="1" applyBorder="1"/>
    <xf numFmtId="177" fontId="47" fillId="0" borderId="1" xfId="1" applyNumberFormat="1" applyFont="1" applyBorder="1" applyAlignment="1" applyProtection="1">
      <alignment horizontal="right"/>
      <protection hidden="1"/>
    </xf>
    <xf numFmtId="177" fontId="46" fillId="48" borderId="1" xfId="1" applyNumberFormat="1" applyFont="1" applyFill="1" applyBorder="1" applyAlignment="1" applyProtection="1">
      <alignment horizontal="right"/>
      <protection hidden="1"/>
    </xf>
    <xf numFmtId="177" fontId="46" fillId="0" borderId="1" xfId="1" applyNumberFormat="1" applyFont="1" applyFill="1" applyBorder="1" applyAlignment="1" applyProtection="1">
      <alignment horizontal="right" vertical="center" wrapText="1"/>
      <protection hidden="1"/>
    </xf>
    <xf numFmtId="177" fontId="46" fillId="0" borderId="1" xfId="1" applyNumberFormat="1" applyFont="1" applyFill="1" applyBorder="1" applyAlignment="1" applyProtection="1">
      <alignment horizontal="right"/>
      <protection hidden="1"/>
    </xf>
    <xf numFmtId="177" fontId="46" fillId="43" borderId="1" xfId="1" applyNumberFormat="1" applyFont="1" applyFill="1" applyBorder="1" applyAlignment="1" applyProtection="1">
      <alignment horizontal="right"/>
      <protection hidden="1"/>
    </xf>
    <xf numFmtId="177" fontId="46" fillId="0" borderId="26" xfId="1" applyNumberFormat="1" applyFont="1" applyBorder="1" applyAlignment="1">
      <alignment horizontal="right"/>
    </xf>
    <xf numFmtId="177" fontId="47" fillId="0" borderId="0" xfId="1" applyNumberFormat="1" applyFont="1" applyBorder="1" applyAlignment="1">
      <alignment horizontal="right"/>
    </xf>
    <xf numFmtId="177" fontId="0" fillId="0" borderId="0" xfId="1" applyNumberFormat="1" applyFont="1" applyAlignment="1">
      <alignment horizontal="right"/>
    </xf>
    <xf numFmtId="177" fontId="0" fillId="0" borderId="21" xfId="1" applyNumberFormat="1" applyFont="1" applyBorder="1" applyAlignment="1">
      <alignment horizontal="right"/>
    </xf>
    <xf numFmtId="177" fontId="3" fillId="0" borderId="0" xfId="1" applyNumberFormat="1" applyFont="1" applyBorder="1"/>
    <xf numFmtId="177" fontId="0" fillId="0" borderId="0" xfId="1" applyNumberFormat="1" applyFont="1" applyBorder="1" applyAlignment="1">
      <alignment horizontal="right"/>
    </xf>
    <xf numFmtId="177" fontId="0" fillId="0" borderId="24" xfId="1" applyNumberFormat="1" applyFont="1" applyBorder="1"/>
    <xf numFmtId="177" fontId="0" fillId="0" borderId="0" xfId="1" applyNumberFormat="1" applyFont="1" applyBorder="1"/>
    <xf numFmtId="177" fontId="49" fillId="0" borderId="0" xfId="1" applyNumberFormat="1" applyFont="1" applyBorder="1" applyAlignment="1">
      <alignment horizontal="right"/>
    </xf>
    <xf numFmtId="177" fontId="96" fillId="25" borderId="0" xfId="1" applyNumberFormat="1" applyFont="1" applyFill="1" applyBorder="1" applyAlignment="1">
      <alignment horizontal="center" vertical="center" wrapText="1"/>
    </xf>
    <xf numFmtId="0" fontId="84" fillId="0" borderId="0" xfId="0" applyFont="1"/>
    <xf numFmtId="177" fontId="84" fillId="0" borderId="0" xfId="1" applyNumberFormat="1" applyFont="1" applyBorder="1" applyAlignment="1">
      <alignment horizontal="right"/>
    </xf>
    <xf numFmtId="177" fontId="48" fillId="0" borderId="0" xfId="1" applyNumberFormat="1" applyFont="1" applyBorder="1" applyAlignment="1">
      <alignment horizontal="center" vertical="center" wrapText="1"/>
    </xf>
    <xf numFmtId="177" fontId="49" fillId="0" borderId="0" xfId="1" applyNumberFormat="1" applyFont="1" applyBorder="1"/>
    <xf numFmtId="177" fontId="0" fillId="0" borderId="0" xfId="1" applyNumberFormat="1" applyFont="1" applyFill="1"/>
    <xf numFmtId="0" fontId="98" fillId="0" borderId="0" xfId="0" applyFont="1"/>
    <xf numFmtId="0" fontId="98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43" fontId="5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77" fontId="91" fillId="0" borderId="0" xfId="0" applyNumberFormat="1" applyFont="1" applyAlignment="1">
      <alignment horizontal="center"/>
    </xf>
    <xf numFmtId="172" fontId="5" fillId="0" borderId="0" xfId="0" applyNumberFormat="1" applyFont="1" applyAlignment="1">
      <alignment horizontal="center" vertical="center" wrapText="1"/>
    </xf>
    <xf numFmtId="9" fontId="2" fillId="0" borderId="0" xfId="2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72" fontId="2" fillId="0" borderId="0" xfId="0" applyNumberFormat="1" applyFont="1" applyAlignment="1">
      <alignment horizontal="center" vertical="center" wrapText="1"/>
    </xf>
    <xf numFmtId="0" fontId="90" fillId="0" borderId="0" xfId="0" applyFont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43" fontId="47" fillId="0" borderId="1" xfId="1" applyFont="1" applyBorder="1" applyAlignment="1" applyProtection="1">
      <alignment horizontal="right"/>
      <protection hidden="1"/>
    </xf>
    <xf numFmtId="178" fontId="0" fillId="0" borderId="0" xfId="1" applyNumberFormat="1" applyFont="1" applyBorder="1" applyAlignment="1">
      <alignment horizontal="right"/>
    </xf>
    <xf numFmtId="179" fontId="91" fillId="0" borderId="0" xfId="0" applyNumberFormat="1" applyFont="1" applyAlignment="1">
      <alignment horizontal="center"/>
    </xf>
    <xf numFmtId="177" fontId="47" fillId="0" borderId="27" xfId="1" applyNumberFormat="1" applyFont="1" applyBorder="1"/>
    <xf numFmtId="177" fontId="0" fillId="0" borderId="0" xfId="1" applyNumberFormat="1" applyFont="1" applyBorder="1" applyAlignment="1">
      <alignment horizontal="center"/>
    </xf>
    <xf numFmtId="177" fontId="2" fillId="0" borderId="0" xfId="0" applyNumberFormat="1" applyFont="1" applyAlignment="1">
      <alignment horizontal="left" vertical="center"/>
    </xf>
    <xf numFmtId="177" fontId="47" fillId="0" borderId="26" xfId="1" applyNumberFormat="1" applyFont="1" applyBorder="1"/>
    <xf numFmtId="177" fontId="46" fillId="0" borderId="40" xfId="0" applyNumberFormat="1" applyFont="1" applyBorder="1" applyAlignment="1">
      <alignment vertical="center" wrapText="1"/>
    </xf>
    <xf numFmtId="177" fontId="0" fillId="0" borderId="40" xfId="1" applyNumberFormat="1" applyFont="1" applyBorder="1" applyAlignment="1">
      <alignment horizontal="right"/>
    </xf>
    <xf numFmtId="177" fontId="47" fillId="0" borderId="26" xfId="1" applyNumberFormat="1" applyFont="1" applyBorder="1" applyAlignment="1">
      <alignment horizontal="right"/>
    </xf>
    <xf numFmtId="0" fontId="99" fillId="0" borderId="0" xfId="0" applyFont="1"/>
    <xf numFmtId="17" fontId="46" fillId="0" borderId="1" xfId="1" applyNumberFormat="1" applyFont="1" applyFill="1" applyBorder="1" applyAlignment="1" applyProtection="1">
      <alignment horizontal="center" vertical="center" wrapText="1"/>
    </xf>
    <xf numFmtId="177" fontId="46" fillId="0" borderId="4" xfId="1" applyNumberFormat="1" applyFont="1" applyFill="1" applyBorder="1" applyAlignment="1" applyProtection="1">
      <alignment horizontal="center" vertical="center" wrapText="1"/>
    </xf>
    <xf numFmtId="177" fontId="46" fillId="0" borderId="1" xfId="1" applyNumberFormat="1" applyFont="1" applyFill="1" applyBorder="1" applyAlignment="1">
      <alignment horizontal="center" vertical="center" wrapText="1"/>
    </xf>
    <xf numFmtId="177" fontId="0" fillId="0" borderId="1" xfId="1" applyNumberFormat="1" applyFont="1" applyBorder="1" applyAlignment="1">
      <alignment horizontal="right"/>
    </xf>
    <xf numFmtId="177" fontId="84" fillId="0" borderId="1" xfId="1" applyNumberFormat="1" applyFont="1" applyBorder="1" applyAlignment="1">
      <alignment horizontal="right"/>
    </xf>
    <xf numFmtId="177" fontId="49" fillId="0" borderId="1" xfId="1" applyNumberFormat="1" applyFont="1" applyBorder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50" borderId="1" xfId="0" applyFont="1" applyFill="1" applyBorder="1" applyAlignment="1">
      <alignment horizontal="left" vertical="center"/>
    </xf>
    <xf numFmtId="0" fontId="2" fillId="50" borderId="1" xfId="0" applyFont="1" applyFill="1" applyBorder="1" applyAlignment="1">
      <alignment horizontal="left" vertical="center" wrapText="1"/>
    </xf>
    <xf numFmtId="0" fontId="2" fillId="50" borderId="1" xfId="0" applyFont="1" applyFill="1" applyBorder="1" applyAlignment="1">
      <alignment horizontal="left"/>
    </xf>
    <xf numFmtId="0" fontId="2" fillId="0" borderId="50" xfId="0" applyFont="1" applyBorder="1" applyAlignment="1">
      <alignment horizontal="center" vertical="top" wrapText="1"/>
    </xf>
    <xf numFmtId="0" fontId="2" fillId="0" borderId="57" xfId="0" applyFont="1" applyBorder="1" applyAlignment="1">
      <alignment horizontal="center" vertical="top" wrapText="1"/>
    </xf>
    <xf numFmtId="0" fontId="2" fillId="0" borderId="51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2" fillId="29" borderId="51" xfId="0" applyFont="1" applyFill="1" applyBorder="1" applyAlignment="1">
      <alignment horizontal="center" vertical="top" wrapText="1"/>
    </xf>
    <xf numFmtId="0" fontId="2" fillId="0" borderId="50" xfId="0" applyFont="1" applyBorder="1"/>
    <xf numFmtId="0" fontId="2" fillId="0" borderId="51" xfId="0" applyFont="1" applyBorder="1"/>
    <xf numFmtId="0" fontId="2" fillId="0" borderId="41" xfId="0" applyFont="1" applyBorder="1"/>
    <xf numFmtId="0" fontId="2" fillId="0" borderId="49" xfId="0" applyFont="1" applyBorder="1" applyAlignment="1">
      <alignment wrapText="1"/>
    </xf>
    <xf numFmtId="0" fontId="0" fillId="0" borderId="4" xfId="0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0" fillId="0" borderId="36" xfId="0" applyNumberFormat="1" applyBorder="1"/>
    <xf numFmtId="169" fontId="5" fillId="27" borderId="1" xfId="0" applyNumberFormat="1" applyFont="1" applyFill="1" applyBorder="1" applyAlignment="1">
      <alignment horizontal="right" wrapText="1"/>
    </xf>
    <xf numFmtId="169" fontId="5" fillId="51" borderId="1" xfId="0" applyNumberFormat="1" applyFont="1" applyFill="1" applyBorder="1" applyAlignment="1">
      <alignment horizontal="right" wrapText="1"/>
    </xf>
    <xf numFmtId="43" fontId="0" fillId="0" borderId="1" xfId="0" applyNumberFormat="1" applyBorder="1" applyAlignment="1">
      <alignment vertical="center" wrapText="1"/>
    </xf>
    <xf numFmtId="43" fontId="0" fillId="0" borderId="1" xfId="0" applyNumberFormat="1" applyBorder="1"/>
    <xf numFmtId="43" fontId="0" fillId="0" borderId="4" xfId="0" applyNumberFormat="1" applyBorder="1" applyAlignment="1">
      <alignment vertical="center" wrapText="1"/>
    </xf>
    <xf numFmtId="0" fontId="0" fillId="52" borderId="1" xfId="0" applyFill="1" applyBorder="1"/>
    <xf numFmtId="43" fontId="0" fillId="52" borderId="4" xfId="0" applyNumberFormat="1" applyFill="1" applyBorder="1" applyAlignment="1">
      <alignment vertical="center" wrapText="1"/>
    </xf>
    <xf numFmtId="43" fontId="0" fillId="52" borderId="0" xfId="0" applyNumberFormat="1" applyFill="1"/>
    <xf numFmtId="44" fontId="0" fillId="52" borderId="0" xfId="0" applyNumberFormat="1" applyFill="1" applyAlignment="1">
      <alignment vertical="center" wrapText="1"/>
    </xf>
    <xf numFmtId="0" fontId="0" fillId="52" borderId="0" xfId="0" applyFill="1"/>
    <xf numFmtId="44" fontId="0" fillId="52" borderId="0" xfId="0" applyNumberFormat="1" applyFill="1"/>
    <xf numFmtId="0" fontId="0" fillId="44" borderId="1" xfId="0" applyFill="1" applyBorder="1"/>
    <xf numFmtId="43" fontId="0" fillId="44" borderId="4" xfId="0" applyNumberFormat="1" applyFill="1" applyBorder="1" applyAlignment="1">
      <alignment vertical="center" wrapText="1"/>
    </xf>
    <xf numFmtId="43" fontId="0" fillId="44" borderId="0" xfId="0" applyNumberFormat="1" applyFill="1"/>
    <xf numFmtId="44" fontId="0" fillId="44" borderId="0" xfId="0" applyNumberFormat="1" applyFill="1" applyAlignment="1">
      <alignment vertical="center" wrapText="1"/>
    </xf>
    <xf numFmtId="0" fontId="0" fillId="44" borderId="0" xfId="0" applyFill="1"/>
    <xf numFmtId="44" fontId="0" fillId="44" borderId="0" xfId="0" applyNumberFormat="1" applyFill="1"/>
    <xf numFmtId="0" fontId="2" fillId="52" borderId="1" xfId="0" applyFont="1" applyFill="1" applyBorder="1"/>
    <xf numFmtId="0" fontId="2" fillId="44" borderId="1" xfId="0" applyFont="1" applyFill="1" applyBorder="1"/>
    <xf numFmtId="0" fontId="2" fillId="0" borderId="58" xfId="0" applyFont="1" applyBorder="1" applyAlignment="1">
      <alignment horizontal="center" vertical="top" wrapText="1"/>
    </xf>
    <xf numFmtId="44" fontId="0" fillId="0" borderId="1" xfId="0" applyNumberFormat="1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32" xfId="0" applyBorder="1"/>
    <xf numFmtId="0" fontId="0" fillId="0" borderId="35" xfId="0" applyBorder="1"/>
    <xf numFmtId="0" fontId="0" fillId="52" borderId="32" xfId="0" applyFill="1" applyBorder="1"/>
    <xf numFmtId="0" fontId="0" fillId="52" borderId="35" xfId="0" applyFill="1" applyBorder="1"/>
    <xf numFmtId="0" fontId="0" fillId="44" borderId="32" xfId="0" applyFill="1" applyBorder="1"/>
    <xf numFmtId="0" fontId="0" fillId="44" borderId="35" xfId="0" applyFill="1" applyBorder="1"/>
    <xf numFmtId="0" fontId="0" fillId="0" borderId="59" xfId="0" applyBorder="1"/>
    <xf numFmtId="0" fontId="0" fillId="0" borderId="60" xfId="0" applyBorder="1"/>
    <xf numFmtId="0" fontId="2" fillId="0" borderId="60" xfId="0" applyFont="1" applyBorder="1"/>
    <xf numFmtId="0" fontId="2" fillId="0" borderId="61" xfId="0" applyFont="1" applyBorder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0" borderId="56" xfId="0" applyBorder="1" applyAlignment="1">
      <alignment vertical="center" wrapText="1"/>
    </xf>
    <xf numFmtId="43" fontId="0" fillId="0" borderId="4" xfId="0" applyNumberFormat="1" applyBorder="1"/>
    <xf numFmtId="44" fontId="0" fillId="0" borderId="4" xfId="0" applyNumberFormat="1" applyBorder="1" applyAlignment="1">
      <alignment vertical="center" wrapText="1"/>
    </xf>
    <xf numFmtId="0" fontId="2" fillId="29" borderId="50" xfId="0" applyFont="1" applyFill="1" applyBorder="1" applyAlignment="1">
      <alignment horizontal="center" vertical="top" wrapText="1"/>
    </xf>
    <xf numFmtId="43" fontId="0" fillId="0" borderId="56" xfId="0" applyNumberFormat="1" applyBorder="1" applyAlignment="1">
      <alignment vertical="center" wrapText="1"/>
    </xf>
    <xf numFmtId="43" fontId="0" fillId="0" borderId="35" xfId="0" applyNumberFormat="1" applyBorder="1"/>
    <xf numFmtId="43" fontId="0" fillId="52" borderId="35" xfId="0" applyNumberFormat="1" applyFill="1" applyBorder="1"/>
    <xf numFmtId="43" fontId="0" fillId="44" borderId="35" xfId="0" applyNumberFormat="1" applyFill="1" applyBorder="1"/>
    <xf numFmtId="44" fontId="0" fillId="0" borderId="60" xfId="0" applyNumberFormat="1" applyBorder="1"/>
    <xf numFmtId="44" fontId="0" fillId="0" borderId="61" xfId="0" applyNumberFormat="1" applyBorder="1"/>
    <xf numFmtId="44" fontId="2" fillId="0" borderId="0" xfId="0" applyNumberFormat="1" applyFont="1" applyAlignment="1">
      <alignment horizontal="right"/>
    </xf>
    <xf numFmtId="0" fontId="0" fillId="0" borderId="4" xfId="0" applyBorder="1"/>
    <xf numFmtId="44" fontId="0" fillId="44" borderId="36" xfId="0" applyNumberFormat="1" applyFill="1" applyBorder="1" applyAlignment="1">
      <alignment vertical="center" wrapText="1"/>
    </xf>
    <xf numFmtId="44" fontId="0" fillId="44" borderId="54" xfId="0" applyNumberFormat="1" applyFill="1" applyBorder="1"/>
    <xf numFmtId="44" fontId="0" fillId="52" borderId="54" xfId="0" applyNumberFormat="1" applyFill="1" applyBorder="1"/>
    <xf numFmtId="44" fontId="0" fillId="52" borderId="36" xfId="0" applyNumberFormat="1" applyFill="1" applyBorder="1" applyAlignment="1">
      <alignment vertical="center" wrapText="1"/>
    </xf>
    <xf numFmtId="0" fontId="0" fillId="0" borderId="31" xfId="0" applyBorder="1"/>
    <xf numFmtId="43" fontId="0" fillId="44" borderId="54" xfId="0" applyNumberFormat="1" applyFill="1" applyBorder="1"/>
    <xf numFmtId="0" fontId="2" fillId="49" borderId="50" xfId="0" applyFont="1" applyFill="1" applyBorder="1" applyAlignment="1">
      <alignment horizontal="center" vertical="top" wrapText="1"/>
    </xf>
    <xf numFmtId="0" fontId="2" fillId="49" borderId="51" xfId="0" applyFont="1" applyFill="1" applyBorder="1" applyAlignment="1">
      <alignment horizontal="center" vertical="top" wrapText="1"/>
    </xf>
    <xf numFmtId="0" fontId="2" fillId="53" borderId="50" xfId="0" applyFont="1" applyFill="1" applyBorder="1" applyAlignment="1">
      <alignment horizontal="center" vertical="top" wrapText="1"/>
    </xf>
    <xf numFmtId="0" fontId="2" fillId="47" borderId="51" xfId="0" applyFont="1" applyFill="1" applyBorder="1" applyAlignment="1">
      <alignment horizontal="center" vertical="top" wrapText="1"/>
    </xf>
    <xf numFmtId="0" fontId="2" fillId="50" borderId="51" xfId="0" applyFont="1" applyFill="1" applyBorder="1" applyAlignment="1">
      <alignment horizontal="center" vertical="top" wrapText="1"/>
    </xf>
    <xf numFmtId="0" fontId="100" fillId="54" borderId="51" xfId="0" applyFont="1" applyFill="1" applyBorder="1" applyAlignment="1">
      <alignment horizontal="center" vertical="top" wrapText="1"/>
    </xf>
    <xf numFmtId="0" fontId="100" fillId="54" borderId="41" xfId="0" applyFont="1" applyFill="1" applyBorder="1" applyAlignment="1">
      <alignment horizontal="center" vertical="top" wrapText="1"/>
    </xf>
    <xf numFmtId="0" fontId="2" fillId="48" borderId="53" xfId="0" applyFont="1" applyFill="1" applyBorder="1" applyAlignment="1">
      <alignment horizontal="center" vertical="top" wrapText="1"/>
    </xf>
    <xf numFmtId="43" fontId="0" fillId="0" borderId="54" xfId="0" applyNumberFormat="1" applyBorder="1"/>
    <xf numFmtId="176" fontId="0" fillId="0" borderId="4" xfId="0" applyNumberFormat="1" applyBorder="1" applyAlignment="1">
      <alignment vertical="center" wrapText="1"/>
    </xf>
    <xf numFmtId="176" fontId="0" fillId="0" borderId="4" xfId="0" applyNumberFormat="1" applyBorder="1"/>
    <xf numFmtId="176" fontId="0" fillId="0" borderId="1" xfId="0" applyNumberFormat="1" applyBorder="1" applyAlignment="1">
      <alignment vertical="center" wrapText="1"/>
    </xf>
    <xf numFmtId="176" fontId="0" fillId="0" borderId="1" xfId="0" applyNumberFormat="1" applyBorder="1"/>
    <xf numFmtId="176" fontId="0" fillId="52" borderId="36" xfId="0" applyNumberFormat="1" applyFill="1" applyBorder="1" applyAlignment="1">
      <alignment vertical="center" wrapText="1"/>
    </xf>
    <xf numFmtId="176" fontId="0" fillId="44" borderId="36" xfId="0" applyNumberFormat="1" applyFill="1" applyBorder="1" applyAlignment="1">
      <alignment vertical="center" wrapText="1"/>
    </xf>
    <xf numFmtId="176" fontId="0" fillId="0" borderId="36" xfId="0" applyNumberFormat="1" applyBorder="1"/>
    <xf numFmtId="0" fontId="0" fillId="52" borderId="62" xfId="0" applyFill="1" applyBorder="1"/>
    <xf numFmtId="0" fontId="0" fillId="52" borderId="36" xfId="0" applyFill="1" applyBorder="1"/>
    <xf numFmtId="0" fontId="2" fillId="52" borderId="36" xfId="0" applyFont="1" applyFill="1" applyBorder="1"/>
    <xf numFmtId="0" fontId="0" fillId="52" borderId="63" xfId="0" applyFill="1" applyBorder="1"/>
    <xf numFmtId="0" fontId="2" fillId="0" borderId="1" xfId="0" applyFont="1" applyBorder="1" applyAlignment="1">
      <alignment horizontal="center" vertical="top" wrapText="1"/>
    </xf>
    <xf numFmtId="176" fontId="0" fillId="52" borderId="36" xfId="0" applyNumberFormat="1" applyFill="1" applyBorder="1"/>
    <xf numFmtId="0" fontId="102" fillId="0" borderId="1" xfId="0" applyFont="1" applyBorder="1"/>
    <xf numFmtId="43" fontId="0" fillId="52" borderId="54" xfId="0" applyNumberFormat="1" applyFill="1" applyBorder="1"/>
    <xf numFmtId="0" fontId="26" fillId="0" borderId="1" xfId="3967" applyBorder="1" applyAlignment="1"/>
    <xf numFmtId="0" fontId="2" fillId="0" borderId="64" xfId="0" applyFont="1" applyBorder="1" applyAlignment="1">
      <alignment horizontal="center" vertical="top" wrapText="1"/>
    </xf>
    <xf numFmtId="0" fontId="2" fillId="0" borderId="65" xfId="0" applyFont="1" applyBorder="1" applyAlignment="1">
      <alignment horizontal="center" vertical="top" wrapText="1"/>
    </xf>
    <xf numFmtId="0" fontId="2" fillId="0" borderId="66" xfId="0" applyFont="1" applyBorder="1" applyAlignment="1">
      <alignment horizontal="center" vertical="top" wrapText="1"/>
    </xf>
    <xf numFmtId="176" fontId="0" fillId="0" borderId="0" xfId="0" applyNumberFormat="1"/>
    <xf numFmtId="43" fontId="0" fillId="0" borderId="4" xfId="1" applyFont="1" applyBorder="1"/>
    <xf numFmtId="0" fontId="0" fillId="44" borderId="40" xfId="0" applyFill="1" applyBorder="1"/>
    <xf numFmtId="0" fontId="0" fillId="0" borderId="40" xfId="0" applyBorder="1"/>
    <xf numFmtId="176" fontId="0" fillId="0" borderId="44" xfId="0" applyNumberFormat="1" applyBorder="1"/>
    <xf numFmtId="176" fontId="0" fillId="44" borderId="69" xfId="0" applyNumberFormat="1" applyFill="1" applyBorder="1" applyAlignment="1">
      <alignment vertical="center" wrapText="1"/>
    </xf>
    <xf numFmtId="176" fontId="0" fillId="0" borderId="69" xfId="0" applyNumberFormat="1" applyBorder="1"/>
    <xf numFmtId="176" fontId="0" fillId="0" borderId="70" xfId="0" applyNumberFormat="1" applyBorder="1"/>
    <xf numFmtId="176" fontId="0" fillId="44" borderId="71" xfId="0" applyNumberFormat="1" applyFill="1" applyBorder="1" applyAlignment="1">
      <alignment vertical="center" wrapText="1"/>
    </xf>
    <xf numFmtId="176" fontId="0" fillId="0" borderId="71" xfId="0" applyNumberFormat="1" applyBorder="1"/>
    <xf numFmtId="0" fontId="26" fillId="0" borderId="0" xfId="3967" applyBorder="1" applyAlignment="1"/>
    <xf numFmtId="176" fontId="0" fillId="52" borderId="40" xfId="0" applyNumberFormat="1" applyFill="1" applyBorder="1" applyAlignment="1">
      <alignment vertical="center" wrapText="1"/>
    </xf>
    <xf numFmtId="176" fontId="0" fillId="44" borderId="3" xfId="0" applyNumberFormat="1" applyFill="1" applyBorder="1" applyAlignment="1">
      <alignment vertical="center" wrapText="1"/>
    </xf>
    <xf numFmtId="43" fontId="0" fillId="44" borderId="40" xfId="0" applyNumberFormat="1" applyFill="1" applyBorder="1"/>
    <xf numFmtId="44" fontId="0" fillId="0" borderId="40" xfId="0" applyNumberFormat="1" applyBorder="1"/>
    <xf numFmtId="176" fontId="0" fillId="0" borderId="3" xfId="0" applyNumberFormat="1" applyBorder="1"/>
    <xf numFmtId="177" fontId="46" fillId="43" borderId="18" xfId="1" applyNumberFormat="1" applyFont="1" applyFill="1" applyBorder="1" applyAlignment="1">
      <alignment horizontal="center" vertical="center" wrapText="1"/>
    </xf>
    <xf numFmtId="177" fontId="46" fillId="43" borderId="18" xfId="1" applyNumberFormat="1" applyFont="1" applyFill="1" applyBorder="1" applyAlignment="1">
      <alignment horizontal="right" vertical="center" wrapText="1"/>
    </xf>
    <xf numFmtId="177" fontId="46" fillId="43" borderId="19" xfId="1" applyNumberFormat="1" applyFont="1" applyFill="1" applyBorder="1" applyAlignment="1" applyProtection="1">
      <alignment horizontal="right"/>
      <protection hidden="1"/>
    </xf>
    <xf numFmtId="0" fontId="0" fillId="0" borderId="55" xfId="0" applyBorder="1"/>
    <xf numFmtId="43" fontId="0" fillId="0" borderId="56" xfId="0" applyNumberFormat="1" applyBorder="1"/>
    <xf numFmtId="0" fontId="0" fillId="0" borderId="62" xfId="0" applyBorder="1"/>
    <xf numFmtId="0" fontId="0" fillId="0" borderId="36" xfId="0" applyBorder="1"/>
    <xf numFmtId="43" fontId="0" fillId="0" borderId="36" xfId="0" applyNumberFormat="1" applyBorder="1" applyAlignment="1">
      <alignment vertical="center" wrapText="1"/>
    </xf>
    <xf numFmtId="43" fontId="0" fillId="0" borderId="63" xfId="0" applyNumberFormat="1" applyBorder="1"/>
    <xf numFmtId="0" fontId="0" fillId="0" borderId="36" xfId="0" applyBorder="1" applyAlignment="1">
      <alignment vertical="center" wrapText="1"/>
    </xf>
    <xf numFmtId="0" fontId="0" fillId="0" borderId="54" xfId="0" applyBorder="1"/>
    <xf numFmtId="0" fontId="0" fillId="0" borderId="72" xfId="0" applyBorder="1"/>
    <xf numFmtId="0" fontId="0" fillId="0" borderId="3" xfId="0" applyBorder="1" applyAlignment="1">
      <alignment vertical="center" wrapText="1"/>
    </xf>
    <xf numFmtId="43" fontId="0" fillId="0" borderId="3" xfId="0" applyNumberFormat="1" applyBorder="1" applyAlignment="1">
      <alignment vertical="center" wrapText="1"/>
    </xf>
    <xf numFmtId="43" fontId="0" fillId="0" borderId="73" xfId="0" applyNumberFormat="1" applyBorder="1"/>
    <xf numFmtId="0" fontId="0" fillId="0" borderId="74" xfId="0" applyBorder="1"/>
    <xf numFmtId="0" fontId="0" fillId="0" borderId="3" xfId="0" applyBorder="1"/>
    <xf numFmtId="43" fontId="0" fillId="0" borderId="28" xfId="0" applyNumberFormat="1" applyBorder="1"/>
    <xf numFmtId="0" fontId="0" fillId="52" borderId="54" xfId="0" applyFill="1" applyBorder="1"/>
    <xf numFmtId="17" fontId="2" fillId="0" borderId="1" xfId="0" applyNumberFormat="1" applyFont="1" applyBorder="1" applyAlignment="1">
      <alignment horizontal="center" vertical="top" wrapText="1"/>
    </xf>
    <xf numFmtId="0" fontId="2" fillId="0" borderId="35" xfId="0" applyFont="1" applyBorder="1"/>
    <xf numFmtId="43" fontId="0" fillId="0" borderId="32" xfId="1" applyFont="1" applyBorder="1"/>
    <xf numFmtId="43" fontId="0" fillId="0" borderId="35" xfId="1" applyFont="1" applyBorder="1"/>
    <xf numFmtId="43" fontId="0" fillId="0" borderId="35" xfId="1" applyFont="1" applyFill="1" applyBorder="1"/>
    <xf numFmtId="17" fontId="2" fillId="0" borderId="1" xfId="0" applyNumberFormat="1" applyFont="1" applyBorder="1" applyAlignment="1">
      <alignment horizontal="center"/>
    </xf>
    <xf numFmtId="43" fontId="0" fillId="0" borderId="72" xfId="1" applyFont="1" applyBorder="1"/>
    <xf numFmtId="43" fontId="0" fillId="0" borderId="73" xfId="1" applyFont="1" applyBorder="1"/>
    <xf numFmtId="43" fontId="0" fillId="0" borderId="2" xfId="0" applyNumberFormat="1" applyBorder="1"/>
    <xf numFmtId="43" fontId="0" fillId="0" borderId="73" xfId="1" applyFont="1" applyFill="1" applyBorder="1"/>
    <xf numFmtId="43" fontId="0" fillId="0" borderId="55" xfId="1" applyFont="1" applyBorder="1"/>
    <xf numFmtId="43" fontId="0" fillId="0" borderId="56" xfId="1" applyFont="1" applyBorder="1"/>
    <xf numFmtId="0" fontId="0" fillId="0" borderId="56" xfId="0" applyBorder="1"/>
    <xf numFmtId="43" fontId="0" fillId="0" borderId="74" xfId="1" applyFont="1" applyBorder="1"/>
    <xf numFmtId="43" fontId="0" fillId="0" borderId="3" xfId="0" applyNumberFormat="1" applyBorder="1"/>
    <xf numFmtId="0" fontId="0" fillId="0" borderId="28" xfId="0" applyBorder="1"/>
    <xf numFmtId="43" fontId="0" fillId="0" borderId="62" xfId="1" applyFont="1" applyBorder="1"/>
    <xf numFmtId="43" fontId="0" fillId="0" borderId="36" xfId="1" applyFont="1" applyBorder="1"/>
    <xf numFmtId="43" fontId="0" fillId="0" borderId="63" xfId="1" applyFont="1" applyBorder="1"/>
    <xf numFmtId="43" fontId="0" fillId="0" borderId="36" xfId="0" applyNumberFormat="1" applyBorder="1"/>
    <xf numFmtId="43" fontId="0" fillId="52" borderId="36" xfId="0" applyNumberFormat="1" applyFill="1" applyBorder="1" applyAlignment="1">
      <alignment vertical="center" wrapText="1"/>
    </xf>
    <xf numFmtId="43" fontId="0" fillId="52" borderId="63" xfId="0" applyNumberFormat="1" applyFill="1" applyBorder="1"/>
    <xf numFmtId="43" fontId="0" fillId="52" borderId="62" xfId="0" applyNumberFormat="1" applyFill="1" applyBorder="1"/>
    <xf numFmtId="43" fontId="0" fillId="52" borderId="36" xfId="0" applyNumberFormat="1" applyFill="1" applyBorder="1"/>
    <xf numFmtId="43" fontId="0" fillId="52" borderId="36" xfId="1" applyFont="1" applyFill="1" applyBorder="1"/>
    <xf numFmtId="43" fontId="0" fillId="52" borderId="63" xfId="1" applyFont="1" applyFill="1" applyBorder="1"/>
    <xf numFmtId="0" fontId="0" fillId="55" borderId="20" xfId="0" applyFill="1" applyBorder="1"/>
    <xf numFmtId="0" fontId="0" fillId="55" borderId="21" xfId="0" applyFill="1" applyBorder="1"/>
    <xf numFmtId="0" fontId="45" fillId="55" borderId="21" xfId="0" applyFont="1" applyFill="1" applyBorder="1" applyProtection="1">
      <protection hidden="1"/>
    </xf>
    <xf numFmtId="0" fontId="0" fillId="55" borderId="21" xfId="0" applyFill="1" applyBorder="1" applyProtection="1">
      <protection hidden="1"/>
    </xf>
    <xf numFmtId="0" fontId="0" fillId="55" borderId="22" xfId="0" applyFill="1" applyBorder="1" applyProtection="1">
      <protection hidden="1"/>
    </xf>
    <xf numFmtId="0" fontId="0" fillId="55" borderId="23" xfId="0" applyFill="1" applyBorder="1"/>
    <xf numFmtId="0" fontId="0" fillId="55" borderId="0" xfId="0" applyFill="1"/>
    <xf numFmtId="0" fontId="0" fillId="55" borderId="0" xfId="0" applyFill="1" applyProtection="1">
      <protection hidden="1"/>
    </xf>
    <xf numFmtId="0" fontId="0" fillId="55" borderId="24" xfId="0" applyFill="1" applyBorder="1" applyProtection="1">
      <protection hidden="1"/>
    </xf>
    <xf numFmtId="0" fontId="0" fillId="55" borderId="25" xfId="0" applyFill="1" applyBorder="1"/>
    <xf numFmtId="0" fontId="2" fillId="55" borderId="26" xfId="0" applyFont="1" applyFill="1" applyBorder="1"/>
    <xf numFmtId="0" fontId="0" fillId="55" borderId="26" xfId="0" applyFill="1" applyBorder="1"/>
    <xf numFmtId="0" fontId="0" fillId="55" borderId="27" xfId="0" applyFill="1" applyBorder="1"/>
    <xf numFmtId="0" fontId="46" fillId="0" borderId="0" xfId="0" applyFont="1"/>
    <xf numFmtId="177" fontId="46" fillId="0" borderId="0" xfId="1" applyNumberFormat="1" applyFont="1" applyFill="1" applyBorder="1" applyProtection="1">
      <protection hidden="1"/>
    </xf>
    <xf numFmtId="177" fontId="46" fillId="0" borderId="0" xfId="1" applyNumberFormat="1" applyFont="1" applyFill="1" applyBorder="1" applyAlignment="1" applyProtection="1">
      <alignment horizontal="right"/>
      <protection hidden="1"/>
    </xf>
    <xf numFmtId="177" fontId="47" fillId="0" borderId="1" xfId="1" applyNumberFormat="1" applyFont="1" applyFill="1" applyBorder="1"/>
    <xf numFmtId="0" fontId="26" fillId="0" borderId="1" xfId="3967" applyBorder="1"/>
    <xf numFmtId="4" fontId="0" fillId="0" borderId="1" xfId="1" applyNumberFormat="1" applyFont="1" applyBorder="1"/>
    <xf numFmtId="4" fontId="0" fillId="0" borderId="1" xfId="0" applyNumberFormat="1" applyBorder="1"/>
    <xf numFmtId="4" fontId="0" fillId="52" borderId="1" xfId="0" applyNumberFormat="1" applyFill="1" applyBorder="1"/>
    <xf numFmtId="4" fontId="0" fillId="44" borderId="1" xfId="0" applyNumberFormat="1" applyFill="1" applyBorder="1"/>
    <xf numFmtId="4" fontId="0" fillId="0" borderId="4" xfId="0" applyNumberFormat="1" applyBorder="1"/>
    <xf numFmtId="4" fontId="0" fillId="44" borderId="36" xfId="0" applyNumberFormat="1" applyFill="1" applyBorder="1"/>
    <xf numFmtId="4" fontId="0" fillId="0" borderId="36" xfId="0" applyNumberFormat="1" applyBorder="1"/>
    <xf numFmtId="4" fontId="0" fillId="52" borderId="36" xfId="0" applyNumberFormat="1" applyFill="1" applyBorder="1"/>
    <xf numFmtId="0" fontId="0" fillId="0" borderId="1" xfId="0" applyBorder="1" applyAlignment="1">
      <alignment horizontal="center"/>
    </xf>
    <xf numFmtId="176" fontId="0" fillId="52" borderId="1" xfId="0" applyNumberFormat="1" applyFill="1" applyBorder="1"/>
    <xf numFmtId="176" fontId="0" fillId="0" borderId="1" xfId="1" applyNumberFormat="1" applyFont="1" applyBorder="1"/>
    <xf numFmtId="176" fontId="0" fillId="44" borderId="1" xfId="0" applyNumberFormat="1" applyFill="1" applyBorder="1"/>
    <xf numFmtId="0" fontId="103" fillId="55" borderId="21" xfId="0" applyFont="1" applyFill="1" applyBorder="1"/>
    <xf numFmtId="0" fontId="3" fillId="55" borderId="21" xfId="0" applyFont="1" applyFill="1" applyBorder="1"/>
    <xf numFmtId="0" fontId="103" fillId="55" borderId="0" xfId="0" applyFont="1" applyFill="1"/>
    <xf numFmtId="0" fontId="3" fillId="55" borderId="0" xfId="0" applyFont="1" applyFill="1"/>
    <xf numFmtId="0" fontId="104" fillId="55" borderId="0" xfId="0" applyFont="1" applyFill="1"/>
    <xf numFmtId="43" fontId="0" fillId="0" borderId="54" xfId="1" applyFont="1" applyBorder="1"/>
    <xf numFmtId="0" fontId="90" fillId="0" borderId="0" xfId="0" applyFont="1"/>
    <xf numFmtId="43" fontId="0" fillId="52" borderId="54" xfId="1" applyFont="1" applyFill="1" applyBorder="1"/>
    <xf numFmtId="0" fontId="47" fillId="0" borderId="26" xfId="0" applyFont="1" applyBorder="1"/>
    <xf numFmtId="0" fontId="104" fillId="55" borderId="0" xfId="0" applyFont="1" applyFill="1" applyAlignment="1" applyProtection="1">
      <alignment horizontal="left"/>
      <protection locked="0"/>
    </xf>
    <xf numFmtId="0" fontId="2" fillId="0" borderId="1" xfId="0" applyFont="1" applyBorder="1" applyAlignment="1">
      <alignment horizontal="center" vertical="center" wrapText="1"/>
    </xf>
    <xf numFmtId="177" fontId="46" fillId="56" borderId="1" xfId="1" applyNumberFormat="1" applyFont="1" applyFill="1" applyBorder="1" applyAlignment="1">
      <alignment horizontal="right" vertical="center" wrapText="1"/>
    </xf>
    <xf numFmtId="177" fontId="46" fillId="56" borderId="18" xfId="1" applyNumberFormat="1" applyFont="1" applyFill="1" applyBorder="1" applyAlignment="1">
      <alignment horizontal="right" vertical="center" wrapText="1"/>
    </xf>
    <xf numFmtId="177" fontId="46" fillId="56" borderId="18" xfId="1" applyNumberFormat="1" applyFont="1" applyFill="1" applyBorder="1" applyAlignment="1">
      <alignment horizontal="center" vertical="center" wrapText="1"/>
    </xf>
    <xf numFmtId="177" fontId="46" fillId="56" borderId="1" xfId="1" applyNumberFormat="1" applyFont="1" applyFill="1" applyBorder="1" applyAlignment="1" applyProtection="1">
      <alignment horizontal="center" vertical="center" wrapText="1"/>
    </xf>
    <xf numFmtId="177" fontId="46" fillId="56" borderId="1" xfId="1" applyNumberFormat="1" applyFont="1" applyFill="1" applyBorder="1" applyAlignment="1" applyProtection="1">
      <alignment horizontal="right"/>
      <protection hidden="1"/>
    </xf>
    <xf numFmtId="177" fontId="47" fillId="56" borderId="18" xfId="1" applyNumberFormat="1" applyFont="1" applyFill="1" applyBorder="1" applyAlignment="1">
      <alignment horizontal="right" vertical="center" wrapText="1"/>
    </xf>
    <xf numFmtId="0" fontId="106" fillId="48" borderId="1" xfId="0" applyFont="1" applyFill="1" applyBorder="1"/>
    <xf numFmtId="0" fontId="2" fillId="48" borderId="0" xfId="0" applyFont="1" applyFill="1" applyAlignment="1">
      <alignment horizontal="center" vertical="center" wrapText="1"/>
    </xf>
    <xf numFmtId="177" fontId="46" fillId="48" borderId="24" xfId="1" applyNumberFormat="1" applyFont="1" applyFill="1" applyBorder="1" applyAlignment="1">
      <alignment horizontal="center" vertical="center" wrapText="1"/>
    </xf>
    <xf numFmtId="177" fontId="2" fillId="48" borderId="0" xfId="0" applyNumberFormat="1" applyFont="1" applyFill="1" applyAlignment="1">
      <alignment horizontal="center" vertical="center" wrapText="1"/>
    </xf>
    <xf numFmtId="0" fontId="105" fillId="48" borderId="1" xfId="0" applyFont="1" applyFill="1" applyBorder="1"/>
    <xf numFmtId="177" fontId="46" fillId="0" borderId="1" xfId="1" applyNumberFormat="1" applyFont="1" applyFill="1" applyBorder="1" applyAlignment="1">
      <alignment horizontal="right" vertical="center" wrapText="1"/>
    </xf>
    <xf numFmtId="0" fontId="26" fillId="0" borderId="1" xfId="3967" applyFill="1" applyBorder="1"/>
    <xf numFmtId="177" fontId="46" fillId="0" borderId="1" xfId="1" applyNumberFormat="1" applyFont="1" applyFill="1" applyBorder="1"/>
    <xf numFmtId="177" fontId="48" fillId="0" borderId="0" xfId="1" applyNumberFormat="1" applyFont="1" applyBorder="1" applyAlignment="1">
      <alignment horizontal="right" vertical="center" wrapText="1"/>
    </xf>
    <xf numFmtId="177" fontId="48" fillId="0" borderId="78" xfId="1" applyNumberFormat="1" applyFont="1" applyBorder="1" applyAlignment="1">
      <alignment horizontal="right" vertical="center" wrapText="1"/>
    </xf>
    <xf numFmtId="177" fontId="46" fillId="0" borderId="2" xfId="1" applyNumberFormat="1" applyFont="1" applyBorder="1" applyAlignment="1">
      <alignment horizontal="center" vertical="center" wrapText="1"/>
    </xf>
    <xf numFmtId="177" fontId="46" fillId="0" borderId="4" xfId="1" applyNumberFormat="1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left"/>
    </xf>
    <xf numFmtId="0" fontId="47" fillId="0" borderId="19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6" fillId="0" borderId="18" xfId="3967" applyBorder="1" applyAlignment="1">
      <alignment horizontal="left"/>
    </xf>
    <xf numFmtId="0" fontId="26" fillId="0" borderId="7" xfId="3967" applyBorder="1" applyAlignment="1">
      <alignment horizontal="left"/>
    </xf>
    <xf numFmtId="0" fontId="26" fillId="0" borderId="19" xfId="3967" applyBorder="1" applyAlignment="1">
      <alignment horizontal="left"/>
    </xf>
    <xf numFmtId="0" fontId="5" fillId="27" borderId="18" xfId="0" applyFont="1" applyFill="1" applyBorder="1" applyAlignment="1">
      <alignment horizontal="left" wrapText="1"/>
    </xf>
    <xf numFmtId="0" fontId="5" fillId="27" borderId="7" xfId="0" applyFont="1" applyFill="1" applyBorder="1" applyAlignment="1">
      <alignment horizontal="left" wrapText="1"/>
    </xf>
    <xf numFmtId="0" fontId="5" fillId="27" borderId="19" xfId="0" applyFont="1" applyFill="1" applyBorder="1" applyAlignment="1">
      <alignment horizontal="left" wrapText="1"/>
    </xf>
    <xf numFmtId="17" fontId="2" fillId="0" borderId="52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974">
    <cellStyle name=" 1" xfId="3" xr:uid="{00000000-0005-0000-0000-000000000000}"/>
    <cellStyle name=" 2" xfId="4" xr:uid="{00000000-0005-0000-0000-000001000000}"/>
    <cellStyle name=" 3" xfId="5" xr:uid="{00000000-0005-0000-0000-000002000000}"/>
    <cellStyle name="%" xfId="6" xr:uid="{00000000-0005-0000-0000-000003000000}"/>
    <cellStyle name="% 2" xfId="186" xr:uid="{00000000-0005-0000-0000-000004000000}"/>
    <cellStyle name="% 2 2" xfId="210" xr:uid="{00000000-0005-0000-0000-000005000000}"/>
    <cellStyle name="% 2 3" xfId="211" xr:uid="{00000000-0005-0000-0000-000006000000}"/>
    <cellStyle name="% 2 4" xfId="212" xr:uid="{00000000-0005-0000-0000-000007000000}"/>
    <cellStyle name="% 3" xfId="213" xr:uid="{00000000-0005-0000-0000-000008000000}"/>
    <cellStyle name="% 3 2" xfId="214" xr:uid="{00000000-0005-0000-0000-000009000000}"/>
    <cellStyle name="% 4" xfId="215" xr:uid="{00000000-0005-0000-0000-00000A000000}"/>
    <cellStyle name="% 5" xfId="216" xr:uid="{00000000-0005-0000-0000-00000B000000}"/>
    <cellStyle name="% 6" xfId="217" xr:uid="{00000000-0005-0000-0000-00000C000000}"/>
    <cellStyle name="%_Appendices A C and D and MFG transitional protection -corrected on 11th January" xfId="218" xr:uid="{00000000-0005-0000-0000-00000D000000}"/>
    <cellStyle name="%_Appendices A C and D and MFG transitional protection -corrected on 11th January 2" xfId="219" xr:uid="{00000000-0005-0000-0000-00000E000000}"/>
    <cellStyle name="%_Book1" xfId="7" xr:uid="{00000000-0005-0000-0000-00000F000000}"/>
    <cellStyle name="%_DFE Contribution" xfId="220" xr:uid="{00000000-0005-0000-0000-000010000000}"/>
    <cellStyle name="%_LFF 3-4 2011.12 Indicative 26.01.2011 v2" xfId="221" xr:uid="{00000000-0005-0000-0000-000011000000}"/>
    <cellStyle name="%_mainstreaming of specific grants GM V2 25-10-10 v5" xfId="222" xr:uid="{00000000-0005-0000-0000-000012000000}"/>
    <cellStyle name="%_mainstreaming of specific grants GM V2 25-10-10 v5 2" xfId="223" xr:uid="{00000000-0005-0000-0000-000013000000}"/>
    <cellStyle name="%_mainstreaming of specific grants GM V2 25-10-10 v5_Appendices A C and D and MFG transitional protection -corrected on 11th January" xfId="224" xr:uid="{00000000-0005-0000-0000-000014000000}"/>
    <cellStyle name="%_mainstreaming of specific grants GM V2 25-10-10 v5_Appendices A C and D and MFG transitional protection -corrected on 11th January 2" xfId="225" xr:uid="{00000000-0005-0000-0000-000015000000}"/>
    <cellStyle name="%_School Contributions" xfId="226" xr:uid="{00000000-0005-0000-0000-000016000000}"/>
    <cellStyle name="]_x000d__x000a_Zoomed=1_x000d__x000a_Row=0_x000d__x000a_Column=0_x000d__x000a_Height=0_x000d__x000a_Width=0_x000d__x000a_FontName=FoxFont_x000d__x000a_FontStyle=0_x000d__x000a_FontSize=9_x000d__x000a_PrtFontName=FoxPrin" xfId="8" xr:uid="{00000000-0005-0000-0000-000017000000}"/>
    <cellStyle name="]_x000d__x000a_Zoomed=1_x000d__x000a_Row=0_x000d__x000a_Column=0_x000d__x000a_Height=0_x000d__x000a_Width=0_x000d__x000a_FontName=FoxFont_x000d__x000a_FontStyle=0_x000d__x000a_FontSize=9_x000d__x000a_PrtFontName=FoxPrin 2" xfId="9" xr:uid="{00000000-0005-0000-0000-000018000000}"/>
    <cellStyle name="]_x000d__x000a_Zoomed=1_x000d__x000a_Row=0_x000d__x000a_Column=0_x000d__x000a_Height=0_x000d__x000a_Width=0_x000d__x000a_FontName=FoxFont_x000d__x000a_FontStyle=0_x000d__x000a_FontSize=9_x000d__x000a_PrtFontName=FoxPrin 2 2" xfId="10" xr:uid="{00000000-0005-0000-0000-000019000000}"/>
    <cellStyle name="]_x000d__x000a_Zoomed=1_x000d__x000a_Row=0_x000d__x000a_Column=0_x000d__x000a_Height=0_x000d__x000a_Width=0_x000d__x000a_FontName=FoxFont_x000d__x000a_FontStyle=0_x000d__x000a_FontSize=9_x000d__x000a_PrtFontName=FoxPrin 3" xfId="11" xr:uid="{00000000-0005-0000-0000-00001A000000}"/>
    <cellStyle name="]_x000d__x000a_Zoomed=1_x000d__x000a_Row=0_x000d__x000a_Column=0_x000d__x000a_Height=0_x000d__x000a_Width=0_x000d__x000a_FontName=FoxFont_x000d__x000a_FontStyle=0_x000d__x000a_FontSize=9_x000d__x000a_PrtFontName=FoxPrin 3 2" xfId="12" xr:uid="{00000000-0005-0000-0000-00001B000000}"/>
    <cellStyle name="]_x000d__x000a_Zoomed=1_x000d__x000a_Row=0_x000d__x000a_Column=0_x000d__x000a_Height=0_x000d__x000a_Width=0_x000d__x000a_FontName=FoxFont_x000d__x000a_FontStyle=0_x000d__x000a_FontSize=9_x000d__x000a_PrtFontName=FoxPrin 3_All Schools2" xfId="13" xr:uid="{00000000-0005-0000-0000-00001C000000}"/>
    <cellStyle name="]_x000d__x000a_Zoomed=1_x000d__x000a_Row=0_x000d__x000a_Column=0_x000d__x000a_Height=0_x000d__x000a_Width=0_x000d__x000a_FontName=FoxFont_x000d__x000a_FontStyle=0_x000d__x000a_FontSize=9_x000d__x000a_PrtFontName=FoxPrin_All Schools2" xfId="14" xr:uid="{00000000-0005-0000-0000-00001D000000}"/>
    <cellStyle name="_38006 University Academy Keighley MFG Calculation" xfId="15" xr:uid="{00000000-0005-0000-0000-00001E000000}"/>
    <cellStyle name="20% - Accent1 2" xfId="16" xr:uid="{00000000-0005-0000-0000-00001F000000}"/>
    <cellStyle name="20% - Accent1 2 2" xfId="17" xr:uid="{00000000-0005-0000-0000-000020000000}"/>
    <cellStyle name="20% - Accent1 2 2 2" xfId="227" xr:uid="{00000000-0005-0000-0000-000021000000}"/>
    <cellStyle name="20% - Accent1 2 2 3" xfId="228" xr:uid="{00000000-0005-0000-0000-000022000000}"/>
    <cellStyle name="20% - Accent1 2 3" xfId="229" xr:uid="{00000000-0005-0000-0000-000023000000}"/>
    <cellStyle name="20% - Accent1 2 4" xfId="230" xr:uid="{00000000-0005-0000-0000-000024000000}"/>
    <cellStyle name="20% - Accent2 2" xfId="18" xr:uid="{00000000-0005-0000-0000-000025000000}"/>
    <cellStyle name="20% - Accent2 2 2" xfId="19" xr:uid="{00000000-0005-0000-0000-000026000000}"/>
    <cellStyle name="20% - Accent2 2 3" xfId="231" xr:uid="{00000000-0005-0000-0000-000027000000}"/>
    <cellStyle name="20% - Accent3 2" xfId="20" xr:uid="{00000000-0005-0000-0000-000028000000}"/>
    <cellStyle name="20% - Accent3 2 2" xfId="21" xr:uid="{00000000-0005-0000-0000-000029000000}"/>
    <cellStyle name="20% - Accent3 2 3" xfId="232" xr:uid="{00000000-0005-0000-0000-00002A000000}"/>
    <cellStyle name="20% - Accent4 2" xfId="22" xr:uid="{00000000-0005-0000-0000-00002B000000}"/>
    <cellStyle name="20% - Accent4 2 2" xfId="23" xr:uid="{00000000-0005-0000-0000-00002C000000}"/>
    <cellStyle name="20% - Accent4 2 3" xfId="233" xr:uid="{00000000-0005-0000-0000-00002D000000}"/>
    <cellStyle name="20% - Accent5 2" xfId="24" xr:uid="{00000000-0005-0000-0000-00002E000000}"/>
    <cellStyle name="20% - Accent5 2 2" xfId="25" xr:uid="{00000000-0005-0000-0000-00002F000000}"/>
    <cellStyle name="20% - Accent5 2 3" xfId="234" xr:uid="{00000000-0005-0000-0000-000030000000}"/>
    <cellStyle name="20% - Accent6 2" xfId="26" xr:uid="{00000000-0005-0000-0000-000031000000}"/>
    <cellStyle name="20% - Accent6 2 2" xfId="27" xr:uid="{00000000-0005-0000-0000-000032000000}"/>
    <cellStyle name="20% - Accent6 2 3" xfId="235" xr:uid="{00000000-0005-0000-0000-000033000000}"/>
    <cellStyle name="40% - Accent1 2" xfId="28" xr:uid="{00000000-0005-0000-0000-000034000000}"/>
    <cellStyle name="40% - Accent1 2 2" xfId="29" xr:uid="{00000000-0005-0000-0000-000035000000}"/>
    <cellStyle name="40% - Accent1 2 3" xfId="236" xr:uid="{00000000-0005-0000-0000-000036000000}"/>
    <cellStyle name="40% - Accent1 3" xfId="237" xr:uid="{00000000-0005-0000-0000-000037000000}"/>
    <cellStyle name="40% - Accent2 2" xfId="30" xr:uid="{00000000-0005-0000-0000-000038000000}"/>
    <cellStyle name="40% - Accent2 2 2" xfId="31" xr:uid="{00000000-0005-0000-0000-000039000000}"/>
    <cellStyle name="40% - Accent2 2 3" xfId="238" xr:uid="{00000000-0005-0000-0000-00003A000000}"/>
    <cellStyle name="40% - Accent2 3" xfId="239" xr:uid="{00000000-0005-0000-0000-00003B000000}"/>
    <cellStyle name="40% - Accent3 2" xfId="32" xr:uid="{00000000-0005-0000-0000-00003C000000}"/>
    <cellStyle name="40% - Accent3 2 2" xfId="33" xr:uid="{00000000-0005-0000-0000-00003D000000}"/>
    <cellStyle name="40% - Accent3 2 3" xfId="240" xr:uid="{00000000-0005-0000-0000-00003E000000}"/>
    <cellStyle name="40% - Accent4 2" xfId="34" xr:uid="{00000000-0005-0000-0000-00003F000000}"/>
    <cellStyle name="40% - Accent4 2 2" xfId="35" xr:uid="{00000000-0005-0000-0000-000040000000}"/>
    <cellStyle name="40% - Accent4 2 3" xfId="241" xr:uid="{00000000-0005-0000-0000-000041000000}"/>
    <cellStyle name="40% - Accent5 2" xfId="36" xr:uid="{00000000-0005-0000-0000-000042000000}"/>
    <cellStyle name="40% - Accent5 2 2" xfId="37" xr:uid="{00000000-0005-0000-0000-000043000000}"/>
    <cellStyle name="40% - Accent5 2 3" xfId="242" xr:uid="{00000000-0005-0000-0000-000044000000}"/>
    <cellStyle name="40% - Accent6 2" xfId="38" xr:uid="{00000000-0005-0000-0000-000045000000}"/>
    <cellStyle name="40% - Accent6 2 2" xfId="39" xr:uid="{00000000-0005-0000-0000-000046000000}"/>
    <cellStyle name="40% - Accent6 2 3" xfId="243" xr:uid="{00000000-0005-0000-0000-000047000000}"/>
    <cellStyle name="60% - Accent1 2" xfId="40" xr:uid="{00000000-0005-0000-0000-000048000000}"/>
    <cellStyle name="60% - Accent1 2 2" xfId="244" xr:uid="{00000000-0005-0000-0000-000049000000}"/>
    <cellStyle name="60% - Accent2 2" xfId="41" xr:uid="{00000000-0005-0000-0000-00004A000000}"/>
    <cellStyle name="60% - Accent2 2 2" xfId="245" xr:uid="{00000000-0005-0000-0000-00004B000000}"/>
    <cellStyle name="60% - Accent3 2" xfId="42" xr:uid="{00000000-0005-0000-0000-00004C000000}"/>
    <cellStyle name="60% - Accent3 2 2" xfId="246" xr:uid="{00000000-0005-0000-0000-00004D000000}"/>
    <cellStyle name="60% - Accent3 3" xfId="3970" xr:uid="{05A01E92-CE58-4CA6-8478-B2420B48C3C0}"/>
    <cellStyle name="60% - Accent4 2" xfId="43" xr:uid="{00000000-0005-0000-0000-00004E000000}"/>
    <cellStyle name="60% - Accent4 2 2" xfId="247" xr:uid="{00000000-0005-0000-0000-00004F000000}"/>
    <cellStyle name="60% - Accent5 2" xfId="44" xr:uid="{00000000-0005-0000-0000-000050000000}"/>
    <cellStyle name="60% - Accent5 2 2" xfId="248" xr:uid="{00000000-0005-0000-0000-000051000000}"/>
    <cellStyle name="60% - Accent6 2" xfId="45" xr:uid="{00000000-0005-0000-0000-000052000000}"/>
    <cellStyle name="60% - Accent6 2 2" xfId="249" xr:uid="{00000000-0005-0000-0000-000053000000}"/>
    <cellStyle name="60% - Accent6 2 3" xfId="250" xr:uid="{00000000-0005-0000-0000-000054000000}"/>
    <cellStyle name="60% - Accent6 2 4" xfId="251" xr:uid="{00000000-0005-0000-0000-000055000000}"/>
    <cellStyle name="Accent1 2" xfId="46" xr:uid="{00000000-0005-0000-0000-000056000000}"/>
    <cellStyle name="Accent1 2 2" xfId="252" xr:uid="{00000000-0005-0000-0000-000057000000}"/>
    <cellStyle name="Accent1 3" xfId="253" xr:uid="{00000000-0005-0000-0000-000058000000}"/>
    <cellStyle name="Accent2 2" xfId="47" xr:uid="{00000000-0005-0000-0000-000059000000}"/>
    <cellStyle name="Accent2 2 2" xfId="254" xr:uid="{00000000-0005-0000-0000-00005A000000}"/>
    <cellStyle name="Accent3 2" xfId="48" xr:uid="{00000000-0005-0000-0000-00005B000000}"/>
    <cellStyle name="Accent3 2 2" xfId="255" xr:uid="{00000000-0005-0000-0000-00005C000000}"/>
    <cellStyle name="Accent4 2" xfId="49" xr:uid="{00000000-0005-0000-0000-00005D000000}"/>
    <cellStyle name="Accent4 2 2" xfId="256" xr:uid="{00000000-0005-0000-0000-00005E000000}"/>
    <cellStyle name="Accent5 2" xfId="50" xr:uid="{00000000-0005-0000-0000-00005F000000}"/>
    <cellStyle name="Accent5 2 2" xfId="257" xr:uid="{00000000-0005-0000-0000-000060000000}"/>
    <cellStyle name="Accent6 2" xfId="51" xr:uid="{00000000-0005-0000-0000-000061000000}"/>
    <cellStyle name="Accent6 2 2" xfId="258" xr:uid="{00000000-0005-0000-0000-000062000000}"/>
    <cellStyle name="Bad 2" xfId="52" xr:uid="{00000000-0005-0000-0000-000063000000}"/>
    <cellStyle name="Bad 2 2" xfId="259" xr:uid="{00000000-0005-0000-0000-000064000000}"/>
    <cellStyle name="Calculation 2" xfId="53" xr:uid="{00000000-0005-0000-0000-000065000000}"/>
    <cellStyle name="Calculation 2 10" xfId="260" xr:uid="{00000000-0005-0000-0000-000066000000}"/>
    <cellStyle name="Calculation 2 10 2" xfId="261" xr:uid="{00000000-0005-0000-0000-000067000000}"/>
    <cellStyle name="Calculation 2 10 3" xfId="262" xr:uid="{00000000-0005-0000-0000-000068000000}"/>
    <cellStyle name="Calculation 2 10 4" xfId="263" xr:uid="{00000000-0005-0000-0000-000069000000}"/>
    <cellStyle name="Calculation 2 10 5" xfId="264" xr:uid="{00000000-0005-0000-0000-00006A000000}"/>
    <cellStyle name="Calculation 2 11" xfId="265" xr:uid="{00000000-0005-0000-0000-00006B000000}"/>
    <cellStyle name="Calculation 2 11 2" xfId="266" xr:uid="{00000000-0005-0000-0000-00006C000000}"/>
    <cellStyle name="Calculation 2 11 3" xfId="267" xr:uid="{00000000-0005-0000-0000-00006D000000}"/>
    <cellStyle name="Calculation 2 11 4" xfId="268" xr:uid="{00000000-0005-0000-0000-00006E000000}"/>
    <cellStyle name="Calculation 2 11 5" xfId="269" xr:uid="{00000000-0005-0000-0000-00006F000000}"/>
    <cellStyle name="Calculation 2 12" xfId="270" xr:uid="{00000000-0005-0000-0000-000070000000}"/>
    <cellStyle name="Calculation 2 12 2" xfId="271" xr:uid="{00000000-0005-0000-0000-000071000000}"/>
    <cellStyle name="Calculation 2 12 3" xfId="272" xr:uid="{00000000-0005-0000-0000-000072000000}"/>
    <cellStyle name="Calculation 2 12 4" xfId="273" xr:uid="{00000000-0005-0000-0000-000073000000}"/>
    <cellStyle name="Calculation 2 12 5" xfId="274" xr:uid="{00000000-0005-0000-0000-000074000000}"/>
    <cellStyle name="Calculation 2 13" xfId="275" xr:uid="{00000000-0005-0000-0000-000075000000}"/>
    <cellStyle name="Calculation 2 13 2" xfId="276" xr:uid="{00000000-0005-0000-0000-000076000000}"/>
    <cellStyle name="Calculation 2 13 3" xfId="277" xr:uid="{00000000-0005-0000-0000-000077000000}"/>
    <cellStyle name="Calculation 2 13 4" xfId="278" xr:uid="{00000000-0005-0000-0000-000078000000}"/>
    <cellStyle name="Calculation 2 14" xfId="279" xr:uid="{00000000-0005-0000-0000-000079000000}"/>
    <cellStyle name="Calculation 2 14 2" xfId="280" xr:uid="{00000000-0005-0000-0000-00007A000000}"/>
    <cellStyle name="Calculation 2 14 3" xfId="281" xr:uid="{00000000-0005-0000-0000-00007B000000}"/>
    <cellStyle name="Calculation 2 14 4" xfId="282" xr:uid="{00000000-0005-0000-0000-00007C000000}"/>
    <cellStyle name="Calculation 2 15" xfId="283" xr:uid="{00000000-0005-0000-0000-00007D000000}"/>
    <cellStyle name="Calculation 2 15 2" xfId="284" xr:uid="{00000000-0005-0000-0000-00007E000000}"/>
    <cellStyle name="Calculation 2 15 3" xfId="285" xr:uid="{00000000-0005-0000-0000-00007F000000}"/>
    <cellStyle name="Calculation 2 15 4" xfId="286" xr:uid="{00000000-0005-0000-0000-000080000000}"/>
    <cellStyle name="Calculation 2 16" xfId="287" xr:uid="{00000000-0005-0000-0000-000081000000}"/>
    <cellStyle name="Calculation 2 2" xfId="288" xr:uid="{00000000-0005-0000-0000-000082000000}"/>
    <cellStyle name="Calculation 2 2 10" xfId="289" xr:uid="{00000000-0005-0000-0000-000083000000}"/>
    <cellStyle name="Calculation 2 2 10 2" xfId="290" xr:uid="{00000000-0005-0000-0000-000084000000}"/>
    <cellStyle name="Calculation 2 2 10 3" xfId="291" xr:uid="{00000000-0005-0000-0000-000085000000}"/>
    <cellStyle name="Calculation 2 2 10 4" xfId="292" xr:uid="{00000000-0005-0000-0000-000086000000}"/>
    <cellStyle name="Calculation 2 2 10 5" xfId="293" xr:uid="{00000000-0005-0000-0000-000087000000}"/>
    <cellStyle name="Calculation 2 2 11" xfId="294" xr:uid="{00000000-0005-0000-0000-000088000000}"/>
    <cellStyle name="Calculation 2 2 11 2" xfId="295" xr:uid="{00000000-0005-0000-0000-000089000000}"/>
    <cellStyle name="Calculation 2 2 11 3" xfId="296" xr:uid="{00000000-0005-0000-0000-00008A000000}"/>
    <cellStyle name="Calculation 2 2 11 4" xfId="297" xr:uid="{00000000-0005-0000-0000-00008B000000}"/>
    <cellStyle name="Calculation 2 2 11 5" xfId="298" xr:uid="{00000000-0005-0000-0000-00008C000000}"/>
    <cellStyle name="Calculation 2 2 12" xfId="299" xr:uid="{00000000-0005-0000-0000-00008D000000}"/>
    <cellStyle name="Calculation 2 2 12 2" xfId="300" xr:uid="{00000000-0005-0000-0000-00008E000000}"/>
    <cellStyle name="Calculation 2 2 12 3" xfId="301" xr:uid="{00000000-0005-0000-0000-00008F000000}"/>
    <cellStyle name="Calculation 2 2 12 4" xfId="302" xr:uid="{00000000-0005-0000-0000-000090000000}"/>
    <cellStyle name="Calculation 2 2 12 5" xfId="303" xr:uid="{00000000-0005-0000-0000-000091000000}"/>
    <cellStyle name="Calculation 2 2 13" xfId="304" xr:uid="{00000000-0005-0000-0000-000092000000}"/>
    <cellStyle name="Calculation 2 2 13 2" xfId="305" xr:uid="{00000000-0005-0000-0000-000093000000}"/>
    <cellStyle name="Calculation 2 2 13 3" xfId="306" xr:uid="{00000000-0005-0000-0000-000094000000}"/>
    <cellStyle name="Calculation 2 2 13 4" xfId="307" xr:uid="{00000000-0005-0000-0000-000095000000}"/>
    <cellStyle name="Calculation 2 2 13 5" xfId="308" xr:uid="{00000000-0005-0000-0000-000096000000}"/>
    <cellStyle name="Calculation 2 2 14" xfId="309" xr:uid="{00000000-0005-0000-0000-000097000000}"/>
    <cellStyle name="Calculation 2 2 14 2" xfId="310" xr:uid="{00000000-0005-0000-0000-000098000000}"/>
    <cellStyle name="Calculation 2 2 14 3" xfId="311" xr:uid="{00000000-0005-0000-0000-000099000000}"/>
    <cellStyle name="Calculation 2 2 14 4" xfId="312" xr:uid="{00000000-0005-0000-0000-00009A000000}"/>
    <cellStyle name="Calculation 2 2 14 5" xfId="313" xr:uid="{00000000-0005-0000-0000-00009B000000}"/>
    <cellStyle name="Calculation 2 2 15" xfId="314" xr:uid="{00000000-0005-0000-0000-00009C000000}"/>
    <cellStyle name="Calculation 2 2 15 2" xfId="315" xr:uid="{00000000-0005-0000-0000-00009D000000}"/>
    <cellStyle name="Calculation 2 2 15 3" xfId="316" xr:uid="{00000000-0005-0000-0000-00009E000000}"/>
    <cellStyle name="Calculation 2 2 15 4" xfId="317" xr:uid="{00000000-0005-0000-0000-00009F000000}"/>
    <cellStyle name="Calculation 2 2 15 5" xfId="318" xr:uid="{00000000-0005-0000-0000-0000A0000000}"/>
    <cellStyle name="Calculation 2 2 16" xfId="319" xr:uid="{00000000-0005-0000-0000-0000A1000000}"/>
    <cellStyle name="Calculation 2 2 16 2" xfId="320" xr:uid="{00000000-0005-0000-0000-0000A2000000}"/>
    <cellStyle name="Calculation 2 2 16 3" xfId="321" xr:uid="{00000000-0005-0000-0000-0000A3000000}"/>
    <cellStyle name="Calculation 2 2 16 4" xfId="322" xr:uid="{00000000-0005-0000-0000-0000A4000000}"/>
    <cellStyle name="Calculation 2 2 16 5" xfId="323" xr:uid="{00000000-0005-0000-0000-0000A5000000}"/>
    <cellStyle name="Calculation 2 2 17" xfId="324" xr:uid="{00000000-0005-0000-0000-0000A6000000}"/>
    <cellStyle name="Calculation 2 2 17 2" xfId="325" xr:uid="{00000000-0005-0000-0000-0000A7000000}"/>
    <cellStyle name="Calculation 2 2 17 3" xfId="326" xr:uid="{00000000-0005-0000-0000-0000A8000000}"/>
    <cellStyle name="Calculation 2 2 17 4" xfId="327" xr:uid="{00000000-0005-0000-0000-0000A9000000}"/>
    <cellStyle name="Calculation 2 2 17 5" xfId="328" xr:uid="{00000000-0005-0000-0000-0000AA000000}"/>
    <cellStyle name="Calculation 2 2 18" xfId="329" xr:uid="{00000000-0005-0000-0000-0000AB000000}"/>
    <cellStyle name="Calculation 2 2 18 2" xfId="330" xr:uid="{00000000-0005-0000-0000-0000AC000000}"/>
    <cellStyle name="Calculation 2 2 18 3" xfId="331" xr:uid="{00000000-0005-0000-0000-0000AD000000}"/>
    <cellStyle name="Calculation 2 2 18 4" xfId="332" xr:uid="{00000000-0005-0000-0000-0000AE000000}"/>
    <cellStyle name="Calculation 2 2 18 5" xfId="333" xr:uid="{00000000-0005-0000-0000-0000AF000000}"/>
    <cellStyle name="Calculation 2 2 19" xfId="334" xr:uid="{00000000-0005-0000-0000-0000B0000000}"/>
    <cellStyle name="Calculation 2 2 19 2" xfId="335" xr:uid="{00000000-0005-0000-0000-0000B1000000}"/>
    <cellStyle name="Calculation 2 2 19 3" xfId="336" xr:uid="{00000000-0005-0000-0000-0000B2000000}"/>
    <cellStyle name="Calculation 2 2 19 4" xfId="337" xr:uid="{00000000-0005-0000-0000-0000B3000000}"/>
    <cellStyle name="Calculation 2 2 2" xfId="338" xr:uid="{00000000-0005-0000-0000-0000B4000000}"/>
    <cellStyle name="Calculation 2 2 2 2" xfId="339" xr:uid="{00000000-0005-0000-0000-0000B5000000}"/>
    <cellStyle name="Calculation 2 2 2 3" xfId="340" xr:uid="{00000000-0005-0000-0000-0000B6000000}"/>
    <cellStyle name="Calculation 2 2 2 4" xfId="341" xr:uid="{00000000-0005-0000-0000-0000B7000000}"/>
    <cellStyle name="Calculation 2 2 2 5" xfId="342" xr:uid="{00000000-0005-0000-0000-0000B8000000}"/>
    <cellStyle name="Calculation 2 2 20" xfId="343" xr:uid="{00000000-0005-0000-0000-0000B9000000}"/>
    <cellStyle name="Calculation 2 2 20 2" xfId="344" xr:uid="{00000000-0005-0000-0000-0000BA000000}"/>
    <cellStyle name="Calculation 2 2 20 3" xfId="345" xr:uid="{00000000-0005-0000-0000-0000BB000000}"/>
    <cellStyle name="Calculation 2 2 20 4" xfId="346" xr:uid="{00000000-0005-0000-0000-0000BC000000}"/>
    <cellStyle name="Calculation 2 2 21" xfId="347" xr:uid="{00000000-0005-0000-0000-0000BD000000}"/>
    <cellStyle name="Calculation 2 2 21 2" xfId="348" xr:uid="{00000000-0005-0000-0000-0000BE000000}"/>
    <cellStyle name="Calculation 2 2 21 3" xfId="349" xr:uid="{00000000-0005-0000-0000-0000BF000000}"/>
    <cellStyle name="Calculation 2 2 21 4" xfId="350" xr:uid="{00000000-0005-0000-0000-0000C0000000}"/>
    <cellStyle name="Calculation 2 2 22" xfId="351" xr:uid="{00000000-0005-0000-0000-0000C1000000}"/>
    <cellStyle name="Calculation 2 2 22 2" xfId="352" xr:uid="{00000000-0005-0000-0000-0000C2000000}"/>
    <cellStyle name="Calculation 2 2 22 3" xfId="353" xr:uid="{00000000-0005-0000-0000-0000C3000000}"/>
    <cellStyle name="Calculation 2 2 22 4" xfId="354" xr:uid="{00000000-0005-0000-0000-0000C4000000}"/>
    <cellStyle name="Calculation 2 2 23" xfId="355" xr:uid="{00000000-0005-0000-0000-0000C5000000}"/>
    <cellStyle name="Calculation 2 2 3" xfId="356" xr:uid="{00000000-0005-0000-0000-0000C6000000}"/>
    <cellStyle name="Calculation 2 2 3 2" xfId="357" xr:uid="{00000000-0005-0000-0000-0000C7000000}"/>
    <cellStyle name="Calculation 2 2 3 3" xfId="358" xr:uid="{00000000-0005-0000-0000-0000C8000000}"/>
    <cellStyle name="Calculation 2 2 3 4" xfId="359" xr:uid="{00000000-0005-0000-0000-0000C9000000}"/>
    <cellStyle name="Calculation 2 2 3 5" xfId="360" xr:uid="{00000000-0005-0000-0000-0000CA000000}"/>
    <cellStyle name="Calculation 2 2 4" xfId="361" xr:uid="{00000000-0005-0000-0000-0000CB000000}"/>
    <cellStyle name="Calculation 2 2 4 2" xfId="362" xr:uid="{00000000-0005-0000-0000-0000CC000000}"/>
    <cellStyle name="Calculation 2 2 4 3" xfId="363" xr:uid="{00000000-0005-0000-0000-0000CD000000}"/>
    <cellStyle name="Calculation 2 2 4 4" xfId="364" xr:uid="{00000000-0005-0000-0000-0000CE000000}"/>
    <cellStyle name="Calculation 2 2 4 5" xfId="365" xr:uid="{00000000-0005-0000-0000-0000CF000000}"/>
    <cellStyle name="Calculation 2 2 5" xfId="366" xr:uid="{00000000-0005-0000-0000-0000D0000000}"/>
    <cellStyle name="Calculation 2 2 5 2" xfId="367" xr:uid="{00000000-0005-0000-0000-0000D1000000}"/>
    <cellStyle name="Calculation 2 2 5 3" xfId="368" xr:uid="{00000000-0005-0000-0000-0000D2000000}"/>
    <cellStyle name="Calculation 2 2 5 4" xfId="369" xr:uid="{00000000-0005-0000-0000-0000D3000000}"/>
    <cellStyle name="Calculation 2 2 5 5" xfId="370" xr:uid="{00000000-0005-0000-0000-0000D4000000}"/>
    <cellStyle name="Calculation 2 2 6" xfId="371" xr:uid="{00000000-0005-0000-0000-0000D5000000}"/>
    <cellStyle name="Calculation 2 2 6 2" xfId="372" xr:uid="{00000000-0005-0000-0000-0000D6000000}"/>
    <cellStyle name="Calculation 2 2 6 3" xfId="373" xr:uid="{00000000-0005-0000-0000-0000D7000000}"/>
    <cellStyle name="Calculation 2 2 6 4" xfId="374" xr:uid="{00000000-0005-0000-0000-0000D8000000}"/>
    <cellStyle name="Calculation 2 2 6 5" xfId="375" xr:uid="{00000000-0005-0000-0000-0000D9000000}"/>
    <cellStyle name="Calculation 2 2 7" xfId="376" xr:uid="{00000000-0005-0000-0000-0000DA000000}"/>
    <cellStyle name="Calculation 2 2 7 2" xfId="377" xr:uid="{00000000-0005-0000-0000-0000DB000000}"/>
    <cellStyle name="Calculation 2 2 7 3" xfId="378" xr:uid="{00000000-0005-0000-0000-0000DC000000}"/>
    <cellStyle name="Calculation 2 2 7 4" xfId="379" xr:uid="{00000000-0005-0000-0000-0000DD000000}"/>
    <cellStyle name="Calculation 2 2 7 5" xfId="380" xr:uid="{00000000-0005-0000-0000-0000DE000000}"/>
    <cellStyle name="Calculation 2 2 8" xfId="381" xr:uid="{00000000-0005-0000-0000-0000DF000000}"/>
    <cellStyle name="Calculation 2 2 8 2" xfId="382" xr:uid="{00000000-0005-0000-0000-0000E0000000}"/>
    <cellStyle name="Calculation 2 2 8 3" xfId="383" xr:uid="{00000000-0005-0000-0000-0000E1000000}"/>
    <cellStyle name="Calculation 2 2 8 4" xfId="384" xr:uid="{00000000-0005-0000-0000-0000E2000000}"/>
    <cellStyle name="Calculation 2 2 8 5" xfId="385" xr:uid="{00000000-0005-0000-0000-0000E3000000}"/>
    <cellStyle name="Calculation 2 2 9" xfId="386" xr:uid="{00000000-0005-0000-0000-0000E4000000}"/>
    <cellStyle name="Calculation 2 2 9 2" xfId="387" xr:uid="{00000000-0005-0000-0000-0000E5000000}"/>
    <cellStyle name="Calculation 2 2 9 3" xfId="388" xr:uid="{00000000-0005-0000-0000-0000E6000000}"/>
    <cellStyle name="Calculation 2 2 9 4" xfId="389" xr:uid="{00000000-0005-0000-0000-0000E7000000}"/>
    <cellStyle name="Calculation 2 2 9 5" xfId="390" xr:uid="{00000000-0005-0000-0000-0000E8000000}"/>
    <cellStyle name="Calculation 2 3" xfId="391" xr:uid="{00000000-0005-0000-0000-0000E9000000}"/>
    <cellStyle name="Calculation 2 3 10" xfId="392" xr:uid="{00000000-0005-0000-0000-0000EA000000}"/>
    <cellStyle name="Calculation 2 3 10 2" xfId="393" xr:uid="{00000000-0005-0000-0000-0000EB000000}"/>
    <cellStyle name="Calculation 2 3 10 3" xfId="394" xr:uid="{00000000-0005-0000-0000-0000EC000000}"/>
    <cellStyle name="Calculation 2 3 10 4" xfId="395" xr:uid="{00000000-0005-0000-0000-0000ED000000}"/>
    <cellStyle name="Calculation 2 3 10 5" xfId="396" xr:uid="{00000000-0005-0000-0000-0000EE000000}"/>
    <cellStyle name="Calculation 2 3 11" xfId="397" xr:uid="{00000000-0005-0000-0000-0000EF000000}"/>
    <cellStyle name="Calculation 2 3 11 2" xfId="398" xr:uid="{00000000-0005-0000-0000-0000F0000000}"/>
    <cellStyle name="Calculation 2 3 11 3" xfId="399" xr:uid="{00000000-0005-0000-0000-0000F1000000}"/>
    <cellStyle name="Calculation 2 3 11 4" xfId="400" xr:uid="{00000000-0005-0000-0000-0000F2000000}"/>
    <cellStyle name="Calculation 2 3 11 5" xfId="401" xr:uid="{00000000-0005-0000-0000-0000F3000000}"/>
    <cellStyle name="Calculation 2 3 12" xfId="402" xr:uid="{00000000-0005-0000-0000-0000F4000000}"/>
    <cellStyle name="Calculation 2 3 12 2" xfId="403" xr:uid="{00000000-0005-0000-0000-0000F5000000}"/>
    <cellStyle name="Calculation 2 3 12 3" xfId="404" xr:uid="{00000000-0005-0000-0000-0000F6000000}"/>
    <cellStyle name="Calculation 2 3 12 4" xfId="405" xr:uid="{00000000-0005-0000-0000-0000F7000000}"/>
    <cellStyle name="Calculation 2 3 12 5" xfId="406" xr:uid="{00000000-0005-0000-0000-0000F8000000}"/>
    <cellStyle name="Calculation 2 3 13" xfId="407" xr:uid="{00000000-0005-0000-0000-0000F9000000}"/>
    <cellStyle name="Calculation 2 3 13 2" xfId="408" xr:uid="{00000000-0005-0000-0000-0000FA000000}"/>
    <cellStyle name="Calculation 2 3 13 3" xfId="409" xr:uid="{00000000-0005-0000-0000-0000FB000000}"/>
    <cellStyle name="Calculation 2 3 13 4" xfId="410" xr:uid="{00000000-0005-0000-0000-0000FC000000}"/>
    <cellStyle name="Calculation 2 3 13 5" xfId="411" xr:uid="{00000000-0005-0000-0000-0000FD000000}"/>
    <cellStyle name="Calculation 2 3 14" xfId="412" xr:uid="{00000000-0005-0000-0000-0000FE000000}"/>
    <cellStyle name="Calculation 2 3 14 2" xfId="413" xr:uid="{00000000-0005-0000-0000-0000FF000000}"/>
    <cellStyle name="Calculation 2 3 14 3" xfId="414" xr:uid="{00000000-0005-0000-0000-000000010000}"/>
    <cellStyle name="Calculation 2 3 14 4" xfId="415" xr:uid="{00000000-0005-0000-0000-000001010000}"/>
    <cellStyle name="Calculation 2 3 14 5" xfId="416" xr:uid="{00000000-0005-0000-0000-000002010000}"/>
    <cellStyle name="Calculation 2 3 15" xfId="417" xr:uid="{00000000-0005-0000-0000-000003010000}"/>
    <cellStyle name="Calculation 2 3 15 2" xfId="418" xr:uid="{00000000-0005-0000-0000-000004010000}"/>
    <cellStyle name="Calculation 2 3 15 3" xfId="419" xr:uid="{00000000-0005-0000-0000-000005010000}"/>
    <cellStyle name="Calculation 2 3 15 4" xfId="420" xr:uid="{00000000-0005-0000-0000-000006010000}"/>
    <cellStyle name="Calculation 2 3 15 5" xfId="421" xr:uid="{00000000-0005-0000-0000-000007010000}"/>
    <cellStyle name="Calculation 2 3 16" xfId="422" xr:uid="{00000000-0005-0000-0000-000008010000}"/>
    <cellStyle name="Calculation 2 3 16 2" xfId="423" xr:uid="{00000000-0005-0000-0000-000009010000}"/>
    <cellStyle name="Calculation 2 3 16 3" xfId="424" xr:uid="{00000000-0005-0000-0000-00000A010000}"/>
    <cellStyle name="Calculation 2 3 16 4" xfId="425" xr:uid="{00000000-0005-0000-0000-00000B010000}"/>
    <cellStyle name="Calculation 2 3 16 5" xfId="426" xr:uid="{00000000-0005-0000-0000-00000C010000}"/>
    <cellStyle name="Calculation 2 3 17" xfId="427" xr:uid="{00000000-0005-0000-0000-00000D010000}"/>
    <cellStyle name="Calculation 2 3 17 2" xfId="428" xr:uid="{00000000-0005-0000-0000-00000E010000}"/>
    <cellStyle name="Calculation 2 3 17 3" xfId="429" xr:uid="{00000000-0005-0000-0000-00000F010000}"/>
    <cellStyle name="Calculation 2 3 17 4" xfId="430" xr:uid="{00000000-0005-0000-0000-000010010000}"/>
    <cellStyle name="Calculation 2 3 17 5" xfId="431" xr:uid="{00000000-0005-0000-0000-000011010000}"/>
    <cellStyle name="Calculation 2 3 18" xfId="432" xr:uid="{00000000-0005-0000-0000-000012010000}"/>
    <cellStyle name="Calculation 2 3 18 2" xfId="433" xr:uid="{00000000-0005-0000-0000-000013010000}"/>
    <cellStyle name="Calculation 2 3 18 3" xfId="434" xr:uid="{00000000-0005-0000-0000-000014010000}"/>
    <cellStyle name="Calculation 2 3 18 4" xfId="435" xr:uid="{00000000-0005-0000-0000-000015010000}"/>
    <cellStyle name="Calculation 2 3 18 5" xfId="436" xr:uid="{00000000-0005-0000-0000-000016010000}"/>
    <cellStyle name="Calculation 2 3 19" xfId="437" xr:uid="{00000000-0005-0000-0000-000017010000}"/>
    <cellStyle name="Calculation 2 3 19 2" xfId="438" xr:uid="{00000000-0005-0000-0000-000018010000}"/>
    <cellStyle name="Calculation 2 3 19 3" xfId="439" xr:uid="{00000000-0005-0000-0000-000019010000}"/>
    <cellStyle name="Calculation 2 3 19 4" xfId="440" xr:uid="{00000000-0005-0000-0000-00001A010000}"/>
    <cellStyle name="Calculation 2 3 2" xfId="441" xr:uid="{00000000-0005-0000-0000-00001B010000}"/>
    <cellStyle name="Calculation 2 3 2 2" xfId="442" xr:uid="{00000000-0005-0000-0000-00001C010000}"/>
    <cellStyle name="Calculation 2 3 2 3" xfId="443" xr:uid="{00000000-0005-0000-0000-00001D010000}"/>
    <cellStyle name="Calculation 2 3 2 4" xfId="444" xr:uid="{00000000-0005-0000-0000-00001E010000}"/>
    <cellStyle name="Calculation 2 3 2 5" xfId="445" xr:uid="{00000000-0005-0000-0000-00001F010000}"/>
    <cellStyle name="Calculation 2 3 20" xfId="446" xr:uid="{00000000-0005-0000-0000-000020010000}"/>
    <cellStyle name="Calculation 2 3 20 2" xfId="447" xr:uid="{00000000-0005-0000-0000-000021010000}"/>
    <cellStyle name="Calculation 2 3 20 3" xfId="448" xr:uid="{00000000-0005-0000-0000-000022010000}"/>
    <cellStyle name="Calculation 2 3 20 4" xfId="449" xr:uid="{00000000-0005-0000-0000-000023010000}"/>
    <cellStyle name="Calculation 2 3 21" xfId="450" xr:uid="{00000000-0005-0000-0000-000024010000}"/>
    <cellStyle name="Calculation 2 3 21 2" xfId="451" xr:uid="{00000000-0005-0000-0000-000025010000}"/>
    <cellStyle name="Calculation 2 3 21 3" xfId="452" xr:uid="{00000000-0005-0000-0000-000026010000}"/>
    <cellStyle name="Calculation 2 3 21 4" xfId="453" xr:uid="{00000000-0005-0000-0000-000027010000}"/>
    <cellStyle name="Calculation 2 3 22" xfId="454" xr:uid="{00000000-0005-0000-0000-000028010000}"/>
    <cellStyle name="Calculation 2 3 22 2" xfId="455" xr:uid="{00000000-0005-0000-0000-000029010000}"/>
    <cellStyle name="Calculation 2 3 22 3" xfId="456" xr:uid="{00000000-0005-0000-0000-00002A010000}"/>
    <cellStyle name="Calculation 2 3 22 4" xfId="457" xr:uid="{00000000-0005-0000-0000-00002B010000}"/>
    <cellStyle name="Calculation 2 3 23" xfId="458" xr:uid="{00000000-0005-0000-0000-00002C010000}"/>
    <cellStyle name="Calculation 2 3 3" xfId="459" xr:uid="{00000000-0005-0000-0000-00002D010000}"/>
    <cellStyle name="Calculation 2 3 3 2" xfId="460" xr:uid="{00000000-0005-0000-0000-00002E010000}"/>
    <cellStyle name="Calculation 2 3 3 3" xfId="461" xr:uid="{00000000-0005-0000-0000-00002F010000}"/>
    <cellStyle name="Calculation 2 3 3 4" xfId="462" xr:uid="{00000000-0005-0000-0000-000030010000}"/>
    <cellStyle name="Calculation 2 3 3 5" xfId="463" xr:uid="{00000000-0005-0000-0000-000031010000}"/>
    <cellStyle name="Calculation 2 3 4" xfId="464" xr:uid="{00000000-0005-0000-0000-000032010000}"/>
    <cellStyle name="Calculation 2 3 4 2" xfId="465" xr:uid="{00000000-0005-0000-0000-000033010000}"/>
    <cellStyle name="Calculation 2 3 4 3" xfId="466" xr:uid="{00000000-0005-0000-0000-000034010000}"/>
    <cellStyle name="Calculation 2 3 4 4" xfId="467" xr:uid="{00000000-0005-0000-0000-000035010000}"/>
    <cellStyle name="Calculation 2 3 4 5" xfId="468" xr:uid="{00000000-0005-0000-0000-000036010000}"/>
    <cellStyle name="Calculation 2 3 5" xfId="469" xr:uid="{00000000-0005-0000-0000-000037010000}"/>
    <cellStyle name="Calculation 2 3 5 2" xfId="470" xr:uid="{00000000-0005-0000-0000-000038010000}"/>
    <cellStyle name="Calculation 2 3 5 3" xfId="471" xr:uid="{00000000-0005-0000-0000-000039010000}"/>
    <cellStyle name="Calculation 2 3 5 4" xfId="472" xr:uid="{00000000-0005-0000-0000-00003A010000}"/>
    <cellStyle name="Calculation 2 3 5 5" xfId="473" xr:uid="{00000000-0005-0000-0000-00003B010000}"/>
    <cellStyle name="Calculation 2 3 6" xfId="474" xr:uid="{00000000-0005-0000-0000-00003C010000}"/>
    <cellStyle name="Calculation 2 3 6 2" xfId="475" xr:uid="{00000000-0005-0000-0000-00003D010000}"/>
    <cellStyle name="Calculation 2 3 6 3" xfId="476" xr:uid="{00000000-0005-0000-0000-00003E010000}"/>
    <cellStyle name="Calculation 2 3 6 4" xfId="477" xr:uid="{00000000-0005-0000-0000-00003F010000}"/>
    <cellStyle name="Calculation 2 3 6 5" xfId="478" xr:uid="{00000000-0005-0000-0000-000040010000}"/>
    <cellStyle name="Calculation 2 3 7" xfId="479" xr:uid="{00000000-0005-0000-0000-000041010000}"/>
    <cellStyle name="Calculation 2 3 7 2" xfId="480" xr:uid="{00000000-0005-0000-0000-000042010000}"/>
    <cellStyle name="Calculation 2 3 7 3" xfId="481" xr:uid="{00000000-0005-0000-0000-000043010000}"/>
    <cellStyle name="Calculation 2 3 7 4" xfId="482" xr:uid="{00000000-0005-0000-0000-000044010000}"/>
    <cellStyle name="Calculation 2 3 7 5" xfId="483" xr:uid="{00000000-0005-0000-0000-000045010000}"/>
    <cellStyle name="Calculation 2 3 8" xfId="484" xr:uid="{00000000-0005-0000-0000-000046010000}"/>
    <cellStyle name="Calculation 2 3 8 2" xfId="485" xr:uid="{00000000-0005-0000-0000-000047010000}"/>
    <cellStyle name="Calculation 2 3 8 3" xfId="486" xr:uid="{00000000-0005-0000-0000-000048010000}"/>
    <cellStyle name="Calculation 2 3 8 4" xfId="487" xr:uid="{00000000-0005-0000-0000-000049010000}"/>
    <cellStyle name="Calculation 2 3 8 5" xfId="488" xr:uid="{00000000-0005-0000-0000-00004A010000}"/>
    <cellStyle name="Calculation 2 3 9" xfId="489" xr:uid="{00000000-0005-0000-0000-00004B010000}"/>
    <cellStyle name="Calculation 2 3 9 2" xfId="490" xr:uid="{00000000-0005-0000-0000-00004C010000}"/>
    <cellStyle name="Calculation 2 3 9 3" xfId="491" xr:uid="{00000000-0005-0000-0000-00004D010000}"/>
    <cellStyle name="Calculation 2 3 9 4" xfId="492" xr:uid="{00000000-0005-0000-0000-00004E010000}"/>
    <cellStyle name="Calculation 2 3 9 5" xfId="493" xr:uid="{00000000-0005-0000-0000-00004F010000}"/>
    <cellStyle name="Calculation 2 4" xfId="494" xr:uid="{00000000-0005-0000-0000-000050010000}"/>
    <cellStyle name="Calculation 2 4 10" xfId="495" xr:uid="{00000000-0005-0000-0000-000051010000}"/>
    <cellStyle name="Calculation 2 4 10 2" xfId="496" xr:uid="{00000000-0005-0000-0000-000052010000}"/>
    <cellStyle name="Calculation 2 4 10 3" xfId="497" xr:uid="{00000000-0005-0000-0000-000053010000}"/>
    <cellStyle name="Calculation 2 4 10 4" xfId="498" xr:uid="{00000000-0005-0000-0000-000054010000}"/>
    <cellStyle name="Calculation 2 4 10 5" xfId="499" xr:uid="{00000000-0005-0000-0000-000055010000}"/>
    <cellStyle name="Calculation 2 4 11" xfId="500" xr:uid="{00000000-0005-0000-0000-000056010000}"/>
    <cellStyle name="Calculation 2 4 11 2" xfId="501" xr:uid="{00000000-0005-0000-0000-000057010000}"/>
    <cellStyle name="Calculation 2 4 11 3" xfId="502" xr:uid="{00000000-0005-0000-0000-000058010000}"/>
    <cellStyle name="Calculation 2 4 11 4" xfId="503" xr:uid="{00000000-0005-0000-0000-000059010000}"/>
    <cellStyle name="Calculation 2 4 11 5" xfId="504" xr:uid="{00000000-0005-0000-0000-00005A010000}"/>
    <cellStyle name="Calculation 2 4 12" xfId="505" xr:uid="{00000000-0005-0000-0000-00005B010000}"/>
    <cellStyle name="Calculation 2 4 12 2" xfId="506" xr:uid="{00000000-0005-0000-0000-00005C010000}"/>
    <cellStyle name="Calculation 2 4 12 3" xfId="507" xr:uid="{00000000-0005-0000-0000-00005D010000}"/>
    <cellStyle name="Calculation 2 4 12 4" xfId="508" xr:uid="{00000000-0005-0000-0000-00005E010000}"/>
    <cellStyle name="Calculation 2 4 12 5" xfId="509" xr:uid="{00000000-0005-0000-0000-00005F010000}"/>
    <cellStyle name="Calculation 2 4 13" xfId="510" xr:uid="{00000000-0005-0000-0000-000060010000}"/>
    <cellStyle name="Calculation 2 4 13 2" xfId="511" xr:uid="{00000000-0005-0000-0000-000061010000}"/>
    <cellStyle name="Calculation 2 4 13 3" xfId="512" xr:uid="{00000000-0005-0000-0000-000062010000}"/>
    <cellStyle name="Calculation 2 4 13 4" xfId="513" xr:uid="{00000000-0005-0000-0000-000063010000}"/>
    <cellStyle name="Calculation 2 4 13 5" xfId="514" xr:uid="{00000000-0005-0000-0000-000064010000}"/>
    <cellStyle name="Calculation 2 4 14" xfId="515" xr:uid="{00000000-0005-0000-0000-000065010000}"/>
    <cellStyle name="Calculation 2 4 14 2" xfId="516" xr:uid="{00000000-0005-0000-0000-000066010000}"/>
    <cellStyle name="Calculation 2 4 14 3" xfId="517" xr:uid="{00000000-0005-0000-0000-000067010000}"/>
    <cellStyle name="Calculation 2 4 14 4" xfId="518" xr:uid="{00000000-0005-0000-0000-000068010000}"/>
    <cellStyle name="Calculation 2 4 14 5" xfId="519" xr:uid="{00000000-0005-0000-0000-000069010000}"/>
    <cellStyle name="Calculation 2 4 15" xfId="520" xr:uid="{00000000-0005-0000-0000-00006A010000}"/>
    <cellStyle name="Calculation 2 4 15 2" xfId="521" xr:uid="{00000000-0005-0000-0000-00006B010000}"/>
    <cellStyle name="Calculation 2 4 15 3" xfId="522" xr:uid="{00000000-0005-0000-0000-00006C010000}"/>
    <cellStyle name="Calculation 2 4 15 4" xfId="523" xr:uid="{00000000-0005-0000-0000-00006D010000}"/>
    <cellStyle name="Calculation 2 4 15 5" xfId="524" xr:uid="{00000000-0005-0000-0000-00006E010000}"/>
    <cellStyle name="Calculation 2 4 16" xfId="525" xr:uid="{00000000-0005-0000-0000-00006F010000}"/>
    <cellStyle name="Calculation 2 4 16 2" xfId="526" xr:uid="{00000000-0005-0000-0000-000070010000}"/>
    <cellStyle name="Calculation 2 4 16 3" xfId="527" xr:uid="{00000000-0005-0000-0000-000071010000}"/>
    <cellStyle name="Calculation 2 4 16 4" xfId="528" xr:uid="{00000000-0005-0000-0000-000072010000}"/>
    <cellStyle name="Calculation 2 4 16 5" xfId="529" xr:uid="{00000000-0005-0000-0000-000073010000}"/>
    <cellStyle name="Calculation 2 4 17" xfId="530" xr:uid="{00000000-0005-0000-0000-000074010000}"/>
    <cellStyle name="Calculation 2 4 17 2" xfId="531" xr:uid="{00000000-0005-0000-0000-000075010000}"/>
    <cellStyle name="Calculation 2 4 17 3" xfId="532" xr:uid="{00000000-0005-0000-0000-000076010000}"/>
    <cellStyle name="Calculation 2 4 17 4" xfId="533" xr:uid="{00000000-0005-0000-0000-000077010000}"/>
    <cellStyle name="Calculation 2 4 17 5" xfId="534" xr:uid="{00000000-0005-0000-0000-000078010000}"/>
    <cellStyle name="Calculation 2 4 18" xfId="535" xr:uid="{00000000-0005-0000-0000-000079010000}"/>
    <cellStyle name="Calculation 2 4 18 2" xfId="536" xr:uid="{00000000-0005-0000-0000-00007A010000}"/>
    <cellStyle name="Calculation 2 4 18 3" xfId="537" xr:uid="{00000000-0005-0000-0000-00007B010000}"/>
    <cellStyle name="Calculation 2 4 18 4" xfId="538" xr:uid="{00000000-0005-0000-0000-00007C010000}"/>
    <cellStyle name="Calculation 2 4 18 5" xfId="539" xr:uid="{00000000-0005-0000-0000-00007D010000}"/>
    <cellStyle name="Calculation 2 4 19" xfId="540" xr:uid="{00000000-0005-0000-0000-00007E010000}"/>
    <cellStyle name="Calculation 2 4 19 2" xfId="541" xr:uid="{00000000-0005-0000-0000-00007F010000}"/>
    <cellStyle name="Calculation 2 4 19 3" xfId="542" xr:uid="{00000000-0005-0000-0000-000080010000}"/>
    <cellStyle name="Calculation 2 4 19 4" xfId="543" xr:uid="{00000000-0005-0000-0000-000081010000}"/>
    <cellStyle name="Calculation 2 4 2" xfId="544" xr:uid="{00000000-0005-0000-0000-000082010000}"/>
    <cellStyle name="Calculation 2 4 2 2" xfId="545" xr:uid="{00000000-0005-0000-0000-000083010000}"/>
    <cellStyle name="Calculation 2 4 2 3" xfId="546" xr:uid="{00000000-0005-0000-0000-000084010000}"/>
    <cellStyle name="Calculation 2 4 2 4" xfId="547" xr:uid="{00000000-0005-0000-0000-000085010000}"/>
    <cellStyle name="Calculation 2 4 2 5" xfId="548" xr:uid="{00000000-0005-0000-0000-000086010000}"/>
    <cellStyle name="Calculation 2 4 20" xfId="549" xr:uid="{00000000-0005-0000-0000-000087010000}"/>
    <cellStyle name="Calculation 2 4 20 2" xfId="550" xr:uid="{00000000-0005-0000-0000-000088010000}"/>
    <cellStyle name="Calculation 2 4 20 3" xfId="551" xr:uid="{00000000-0005-0000-0000-000089010000}"/>
    <cellStyle name="Calculation 2 4 20 4" xfId="552" xr:uid="{00000000-0005-0000-0000-00008A010000}"/>
    <cellStyle name="Calculation 2 4 21" xfId="553" xr:uid="{00000000-0005-0000-0000-00008B010000}"/>
    <cellStyle name="Calculation 2 4 21 2" xfId="554" xr:uid="{00000000-0005-0000-0000-00008C010000}"/>
    <cellStyle name="Calculation 2 4 21 3" xfId="555" xr:uid="{00000000-0005-0000-0000-00008D010000}"/>
    <cellStyle name="Calculation 2 4 21 4" xfId="556" xr:uid="{00000000-0005-0000-0000-00008E010000}"/>
    <cellStyle name="Calculation 2 4 22" xfId="557" xr:uid="{00000000-0005-0000-0000-00008F010000}"/>
    <cellStyle name="Calculation 2 4 22 2" xfId="558" xr:uid="{00000000-0005-0000-0000-000090010000}"/>
    <cellStyle name="Calculation 2 4 22 3" xfId="559" xr:uid="{00000000-0005-0000-0000-000091010000}"/>
    <cellStyle name="Calculation 2 4 22 4" xfId="560" xr:uid="{00000000-0005-0000-0000-000092010000}"/>
    <cellStyle name="Calculation 2 4 23" xfId="561" xr:uid="{00000000-0005-0000-0000-000093010000}"/>
    <cellStyle name="Calculation 2 4 3" xfId="562" xr:uid="{00000000-0005-0000-0000-000094010000}"/>
    <cellStyle name="Calculation 2 4 3 2" xfId="563" xr:uid="{00000000-0005-0000-0000-000095010000}"/>
    <cellStyle name="Calculation 2 4 3 3" xfId="564" xr:uid="{00000000-0005-0000-0000-000096010000}"/>
    <cellStyle name="Calculation 2 4 3 4" xfId="565" xr:uid="{00000000-0005-0000-0000-000097010000}"/>
    <cellStyle name="Calculation 2 4 3 5" xfId="566" xr:uid="{00000000-0005-0000-0000-000098010000}"/>
    <cellStyle name="Calculation 2 4 4" xfId="567" xr:uid="{00000000-0005-0000-0000-000099010000}"/>
    <cellStyle name="Calculation 2 4 4 2" xfId="568" xr:uid="{00000000-0005-0000-0000-00009A010000}"/>
    <cellStyle name="Calculation 2 4 4 3" xfId="569" xr:uid="{00000000-0005-0000-0000-00009B010000}"/>
    <cellStyle name="Calculation 2 4 4 4" xfId="570" xr:uid="{00000000-0005-0000-0000-00009C010000}"/>
    <cellStyle name="Calculation 2 4 4 5" xfId="571" xr:uid="{00000000-0005-0000-0000-00009D010000}"/>
    <cellStyle name="Calculation 2 4 5" xfId="572" xr:uid="{00000000-0005-0000-0000-00009E010000}"/>
    <cellStyle name="Calculation 2 4 5 2" xfId="573" xr:uid="{00000000-0005-0000-0000-00009F010000}"/>
    <cellStyle name="Calculation 2 4 5 3" xfId="574" xr:uid="{00000000-0005-0000-0000-0000A0010000}"/>
    <cellStyle name="Calculation 2 4 5 4" xfId="575" xr:uid="{00000000-0005-0000-0000-0000A1010000}"/>
    <cellStyle name="Calculation 2 4 5 5" xfId="576" xr:uid="{00000000-0005-0000-0000-0000A2010000}"/>
    <cellStyle name="Calculation 2 4 6" xfId="577" xr:uid="{00000000-0005-0000-0000-0000A3010000}"/>
    <cellStyle name="Calculation 2 4 6 2" xfId="578" xr:uid="{00000000-0005-0000-0000-0000A4010000}"/>
    <cellStyle name="Calculation 2 4 6 3" xfId="579" xr:uid="{00000000-0005-0000-0000-0000A5010000}"/>
    <cellStyle name="Calculation 2 4 6 4" xfId="580" xr:uid="{00000000-0005-0000-0000-0000A6010000}"/>
    <cellStyle name="Calculation 2 4 6 5" xfId="581" xr:uid="{00000000-0005-0000-0000-0000A7010000}"/>
    <cellStyle name="Calculation 2 4 7" xfId="582" xr:uid="{00000000-0005-0000-0000-0000A8010000}"/>
    <cellStyle name="Calculation 2 4 7 2" xfId="583" xr:uid="{00000000-0005-0000-0000-0000A9010000}"/>
    <cellStyle name="Calculation 2 4 7 3" xfId="584" xr:uid="{00000000-0005-0000-0000-0000AA010000}"/>
    <cellStyle name="Calculation 2 4 7 4" xfId="585" xr:uid="{00000000-0005-0000-0000-0000AB010000}"/>
    <cellStyle name="Calculation 2 4 7 5" xfId="586" xr:uid="{00000000-0005-0000-0000-0000AC010000}"/>
    <cellStyle name="Calculation 2 4 8" xfId="587" xr:uid="{00000000-0005-0000-0000-0000AD010000}"/>
    <cellStyle name="Calculation 2 4 8 2" xfId="588" xr:uid="{00000000-0005-0000-0000-0000AE010000}"/>
    <cellStyle name="Calculation 2 4 8 3" xfId="589" xr:uid="{00000000-0005-0000-0000-0000AF010000}"/>
    <cellStyle name="Calculation 2 4 8 4" xfId="590" xr:uid="{00000000-0005-0000-0000-0000B0010000}"/>
    <cellStyle name="Calculation 2 4 8 5" xfId="591" xr:uid="{00000000-0005-0000-0000-0000B1010000}"/>
    <cellStyle name="Calculation 2 4 9" xfId="592" xr:uid="{00000000-0005-0000-0000-0000B2010000}"/>
    <cellStyle name="Calculation 2 4 9 2" xfId="593" xr:uid="{00000000-0005-0000-0000-0000B3010000}"/>
    <cellStyle name="Calculation 2 4 9 3" xfId="594" xr:uid="{00000000-0005-0000-0000-0000B4010000}"/>
    <cellStyle name="Calculation 2 4 9 4" xfId="595" xr:uid="{00000000-0005-0000-0000-0000B5010000}"/>
    <cellStyle name="Calculation 2 4 9 5" xfId="596" xr:uid="{00000000-0005-0000-0000-0000B6010000}"/>
    <cellStyle name="Calculation 2 5" xfId="597" xr:uid="{00000000-0005-0000-0000-0000B7010000}"/>
    <cellStyle name="Calculation 2 5 10" xfId="598" xr:uid="{00000000-0005-0000-0000-0000B8010000}"/>
    <cellStyle name="Calculation 2 5 10 2" xfId="599" xr:uid="{00000000-0005-0000-0000-0000B9010000}"/>
    <cellStyle name="Calculation 2 5 10 3" xfId="600" xr:uid="{00000000-0005-0000-0000-0000BA010000}"/>
    <cellStyle name="Calculation 2 5 10 4" xfId="601" xr:uid="{00000000-0005-0000-0000-0000BB010000}"/>
    <cellStyle name="Calculation 2 5 10 5" xfId="602" xr:uid="{00000000-0005-0000-0000-0000BC010000}"/>
    <cellStyle name="Calculation 2 5 11" xfId="603" xr:uid="{00000000-0005-0000-0000-0000BD010000}"/>
    <cellStyle name="Calculation 2 5 11 2" xfId="604" xr:uid="{00000000-0005-0000-0000-0000BE010000}"/>
    <cellStyle name="Calculation 2 5 11 3" xfId="605" xr:uid="{00000000-0005-0000-0000-0000BF010000}"/>
    <cellStyle name="Calculation 2 5 11 4" xfId="606" xr:uid="{00000000-0005-0000-0000-0000C0010000}"/>
    <cellStyle name="Calculation 2 5 11 5" xfId="607" xr:uid="{00000000-0005-0000-0000-0000C1010000}"/>
    <cellStyle name="Calculation 2 5 12" xfId="608" xr:uid="{00000000-0005-0000-0000-0000C2010000}"/>
    <cellStyle name="Calculation 2 5 12 2" xfId="609" xr:uid="{00000000-0005-0000-0000-0000C3010000}"/>
    <cellStyle name="Calculation 2 5 12 3" xfId="610" xr:uid="{00000000-0005-0000-0000-0000C4010000}"/>
    <cellStyle name="Calculation 2 5 12 4" xfId="611" xr:uid="{00000000-0005-0000-0000-0000C5010000}"/>
    <cellStyle name="Calculation 2 5 12 5" xfId="612" xr:uid="{00000000-0005-0000-0000-0000C6010000}"/>
    <cellStyle name="Calculation 2 5 13" xfId="613" xr:uid="{00000000-0005-0000-0000-0000C7010000}"/>
    <cellStyle name="Calculation 2 5 13 2" xfId="614" xr:uid="{00000000-0005-0000-0000-0000C8010000}"/>
    <cellStyle name="Calculation 2 5 13 3" xfId="615" xr:uid="{00000000-0005-0000-0000-0000C9010000}"/>
    <cellStyle name="Calculation 2 5 13 4" xfId="616" xr:uid="{00000000-0005-0000-0000-0000CA010000}"/>
    <cellStyle name="Calculation 2 5 13 5" xfId="617" xr:uid="{00000000-0005-0000-0000-0000CB010000}"/>
    <cellStyle name="Calculation 2 5 14" xfId="618" xr:uid="{00000000-0005-0000-0000-0000CC010000}"/>
    <cellStyle name="Calculation 2 5 14 2" xfId="619" xr:uid="{00000000-0005-0000-0000-0000CD010000}"/>
    <cellStyle name="Calculation 2 5 14 3" xfId="620" xr:uid="{00000000-0005-0000-0000-0000CE010000}"/>
    <cellStyle name="Calculation 2 5 14 4" xfId="621" xr:uid="{00000000-0005-0000-0000-0000CF010000}"/>
    <cellStyle name="Calculation 2 5 14 5" xfId="622" xr:uid="{00000000-0005-0000-0000-0000D0010000}"/>
    <cellStyle name="Calculation 2 5 15" xfId="623" xr:uid="{00000000-0005-0000-0000-0000D1010000}"/>
    <cellStyle name="Calculation 2 5 15 2" xfId="624" xr:uid="{00000000-0005-0000-0000-0000D2010000}"/>
    <cellStyle name="Calculation 2 5 15 3" xfId="625" xr:uid="{00000000-0005-0000-0000-0000D3010000}"/>
    <cellStyle name="Calculation 2 5 15 4" xfId="626" xr:uid="{00000000-0005-0000-0000-0000D4010000}"/>
    <cellStyle name="Calculation 2 5 15 5" xfId="627" xr:uid="{00000000-0005-0000-0000-0000D5010000}"/>
    <cellStyle name="Calculation 2 5 16" xfId="628" xr:uid="{00000000-0005-0000-0000-0000D6010000}"/>
    <cellStyle name="Calculation 2 5 16 2" xfId="629" xr:uid="{00000000-0005-0000-0000-0000D7010000}"/>
    <cellStyle name="Calculation 2 5 16 3" xfId="630" xr:uid="{00000000-0005-0000-0000-0000D8010000}"/>
    <cellStyle name="Calculation 2 5 16 4" xfId="631" xr:uid="{00000000-0005-0000-0000-0000D9010000}"/>
    <cellStyle name="Calculation 2 5 16 5" xfId="632" xr:uid="{00000000-0005-0000-0000-0000DA010000}"/>
    <cellStyle name="Calculation 2 5 17" xfId="633" xr:uid="{00000000-0005-0000-0000-0000DB010000}"/>
    <cellStyle name="Calculation 2 5 17 2" xfId="634" xr:uid="{00000000-0005-0000-0000-0000DC010000}"/>
    <cellStyle name="Calculation 2 5 17 3" xfId="635" xr:uid="{00000000-0005-0000-0000-0000DD010000}"/>
    <cellStyle name="Calculation 2 5 17 4" xfId="636" xr:uid="{00000000-0005-0000-0000-0000DE010000}"/>
    <cellStyle name="Calculation 2 5 17 5" xfId="637" xr:uid="{00000000-0005-0000-0000-0000DF010000}"/>
    <cellStyle name="Calculation 2 5 18" xfId="638" xr:uid="{00000000-0005-0000-0000-0000E0010000}"/>
    <cellStyle name="Calculation 2 5 18 2" xfId="639" xr:uid="{00000000-0005-0000-0000-0000E1010000}"/>
    <cellStyle name="Calculation 2 5 18 3" xfId="640" xr:uid="{00000000-0005-0000-0000-0000E2010000}"/>
    <cellStyle name="Calculation 2 5 18 4" xfId="641" xr:uid="{00000000-0005-0000-0000-0000E3010000}"/>
    <cellStyle name="Calculation 2 5 18 5" xfId="642" xr:uid="{00000000-0005-0000-0000-0000E4010000}"/>
    <cellStyle name="Calculation 2 5 19" xfId="643" xr:uid="{00000000-0005-0000-0000-0000E5010000}"/>
    <cellStyle name="Calculation 2 5 19 2" xfId="644" xr:uid="{00000000-0005-0000-0000-0000E6010000}"/>
    <cellStyle name="Calculation 2 5 19 3" xfId="645" xr:uid="{00000000-0005-0000-0000-0000E7010000}"/>
    <cellStyle name="Calculation 2 5 19 4" xfId="646" xr:uid="{00000000-0005-0000-0000-0000E8010000}"/>
    <cellStyle name="Calculation 2 5 2" xfId="647" xr:uid="{00000000-0005-0000-0000-0000E9010000}"/>
    <cellStyle name="Calculation 2 5 2 2" xfId="648" xr:uid="{00000000-0005-0000-0000-0000EA010000}"/>
    <cellStyle name="Calculation 2 5 2 3" xfId="649" xr:uid="{00000000-0005-0000-0000-0000EB010000}"/>
    <cellStyle name="Calculation 2 5 2 4" xfId="650" xr:uid="{00000000-0005-0000-0000-0000EC010000}"/>
    <cellStyle name="Calculation 2 5 2 5" xfId="651" xr:uid="{00000000-0005-0000-0000-0000ED010000}"/>
    <cellStyle name="Calculation 2 5 20" xfId="652" xr:uid="{00000000-0005-0000-0000-0000EE010000}"/>
    <cellStyle name="Calculation 2 5 20 2" xfId="653" xr:uid="{00000000-0005-0000-0000-0000EF010000}"/>
    <cellStyle name="Calculation 2 5 20 3" xfId="654" xr:uid="{00000000-0005-0000-0000-0000F0010000}"/>
    <cellStyle name="Calculation 2 5 20 4" xfId="655" xr:uid="{00000000-0005-0000-0000-0000F1010000}"/>
    <cellStyle name="Calculation 2 5 21" xfId="656" xr:uid="{00000000-0005-0000-0000-0000F2010000}"/>
    <cellStyle name="Calculation 2 5 21 2" xfId="657" xr:uid="{00000000-0005-0000-0000-0000F3010000}"/>
    <cellStyle name="Calculation 2 5 21 3" xfId="658" xr:uid="{00000000-0005-0000-0000-0000F4010000}"/>
    <cellStyle name="Calculation 2 5 21 4" xfId="659" xr:uid="{00000000-0005-0000-0000-0000F5010000}"/>
    <cellStyle name="Calculation 2 5 22" xfId="660" xr:uid="{00000000-0005-0000-0000-0000F6010000}"/>
    <cellStyle name="Calculation 2 5 22 2" xfId="661" xr:uid="{00000000-0005-0000-0000-0000F7010000}"/>
    <cellStyle name="Calculation 2 5 22 3" xfId="662" xr:uid="{00000000-0005-0000-0000-0000F8010000}"/>
    <cellStyle name="Calculation 2 5 22 4" xfId="663" xr:uid="{00000000-0005-0000-0000-0000F9010000}"/>
    <cellStyle name="Calculation 2 5 23" xfId="664" xr:uid="{00000000-0005-0000-0000-0000FA010000}"/>
    <cellStyle name="Calculation 2 5 3" xfId="665" xr:uid="{00000000-0005-0000-0000-0000FB010000}"/>
    <cellStyle name="Calculation 2 5 3 2" xfId="666" xr:uid="{00000000-0005-0000-0000-0000FC010000}"/>
    <cellStyle name="Calculation 2 5 3 3" xfId="667" xr:uid="{00000000-0005-0000-0000-0000FD010000}"/>
    <cellStyle name="Calculation 2 5 3 4" xfId="668" xr:uid="{00000000-0005-0000-0000-0000FE010000}"/>
    <cellStyle name="Calculation 2 5 3 5" xfId="669" xr:uid="{00000000-0005-0000-0000-0000FF010000}"/>
    <cellStyle name="Calculation 2 5 4" xfId="670" xr:uid="{00000000-0005-0000-0000-000000020000}"/>
    <cellStyle name="Calculation 2 5 4 2" xfId="671" xr:uid="{00000000-0005-0000-0000-000001020000}"/>
    <cellStyle name="Calculation 2 5 4 3" xfId="672" xr:uid="{00000000-0005-0000-0000-000002020000}"/>
    <cellStyle name="Calculation 2 5 4 4" xfId="673" xr:uid="{00000000-0005-0000-0000-000003020000}"/>
    <cellStyle name="Calculation 2 5 4 5" xfId="674" xr:uid="{00000000-0005-0000-0000-000004020000}"/>
    <cellStyle name="Calculation 2 5 5" xfId="675" xr:uid="{00000000-0005-0000-0000-000005020000}"/>
    <cellStyle name="Calculation 2 5 5 2" xfId="676" xr:uid="{00000000-0005-0000-0000-000006020000}"/>
    <cellStyle name="Calculation 2 5 5 3" xfId="677" xr:uid="{00000000-0005-0000-0000-000007020000}"/>
    <cellStyle name="Calculation 2 5 5 4" xfId="678" xr:uid="{00000000-0005-0000-0000-000008020000}"/>
    <cellStyle name="Calculation 2 5 5 5" xfId="679" xr:uid="{00000000-0005-0000-0000-000009020000}"/>
    <cellStyle name="Calculation 2 5 6" xfId="680" xr:uid="{00000000-0005-0000-0000-00000A020000}"/>
    <cellStyle name="Calculation 2 5 6 2" xfId="681" xr:uid="{00000000-0005-0000-0000-00000B020000}"/>
    <cellStyle name="Calculation 2 5 6 3" xfId="682" xr:uid="{00000000-0005-0000-0000-00000C020000}"/>
    <cellStyle name="Calculation 2 5 6 4" xfId="683" xr:uid="{00000000-0005-0000-0000-00000D020000}"/>
    <cellStyle name="Calculation 2 5 6 5" xfId="684" xr:uid="{00000000-0005-0000-0000-00000E020000}"/>
    <cellStyle name="Calculation 2 5 7" xfId="685" xr:uid="{00000000-0005-0000-0000-00000F020000}"/>
    <cellStyle name="Calculation 2 5 7 2" xfId="686" xr:uid="{00000000-0005-0000-0000-000010020000}"/>
    <cellStyle name="Calculation 2 5 7 3" xfId="687" xr:uid="{00000000-0005-0000-0000-000011020000}"/>
    <cellStyle name="Calculation 2 5 7 4" xfId="688" xr:uid="{00000000-0005-0000-0000-000012020000}"/>
    <cellStyle name="Calculation 2 5 7 5" xfId="689" xr:uid="{00000000-0005-0000-0000-000013020000}"/>
    <cellStyle name="Calculation 2 5 8" xfId="690" xr:uid="{00000000-0005-0000-0000-000014020000}"/>
    <cellStyle name="Calculation 2 5 8 2" xfId="691" xr:uid="{00000000-0005-0000-0000-000015020000}"/>
    <cellStyle name="Calculation 2 5 8 3" xfId="692" xr:uid="{00000000-0005-0000-0000-000016020000}"/>
    <cellStyle name="Calculation 2 5 8 4" xfId="693" xr:uid="{00000000-0005-0000-0000-000017020000}"/>
    <cellStyle name="Calculation 2 5 8 5" xfId="694" xr:uid="{00000000-0005-0000-0000-000018020000}"/>
    <cellStyle name="Calculation 2 5 9" xfId="695" xr:uid="{00000000-0005-0000-0000-000019020000}"/>
    <cellStyle name="Calculation 2 5 9 2" xfId="696" xr:uid="{00000000-0005-0000-0000-00001A020000}"/>
    <cellStyle name="Calculation 2 5 9 3" xfId="697" xr:uid="{00000000-0005-0000-0000-00001B020000}"/>
    <cellStyle name="Calculation 2 5 9 4" xfId="698" xr:uid="{00000000-0005-0000-0000-00001C020000}"/>
    <cellStyle name="Calculation 2 5 9 5" xfId="699" xr:uid="{00000000-0005-0000-0000-00001D020000}"/>
    <cellStyle name="Calculation 2 6" xfId="700" xr:uid="{00000000-0005-0000-0000-00001E020000}"/>
    <cellStyle name="Calculation 2 6 10" xfId="701" xr:uid="{00000000-0005-0000-0000-00001F020000}"/>
    <cellStyle name="Calculation 2 6 10 2" xfId="702" xr:uid="{00000000-0005-0000-0000-000020020000}"/>
    <cellStyle name="Calculation 2 6 10 3" xfId="703" xr:uid="{00000000-0005-0000-0000-000021020000}"/>
    <cellStyle name="Calculation 2 6 10 4" xfId="704" xr:uid="{00000000-0005-0000-0000-000022020000}"/>
    <cellStyle name="Calculation 2 6 10 5" xfId="705" xr:uid="{00000000-0005-0000-0000-000023020000}"/>
    <cellStyle name="Calculation 2 6 11" xfId="706" xr:uid="{00000000-0005-0000-0000-000024020000}"/>
    <cellStyle name="Calculation 2 6 11 2" xfId="707" xr:uid="{00000000-0005-0000-0000-000025020000}"/>
    <cellStyle name="Calculation 2 6 11 3" xfId="708" xr:uid="{00000000-0005-0000-0000-000026020000}"/>
    <cellStyle name="Calculation 2 6 11 4" xfId="709" xr:uid="{00000000-0005-0000-0000-000027020000}"/>
    <cellStyle name="Calculation 2 6 11 5" xfId="710" xr:uid="{00000000-0005-0000-0000-000028020000}"/>
    <cellStyle name="Calculation 2 6 12" xfId="711" xr:uid="{00000000-0005-0000-0000-000029020000}"/>
    <cellStyle name="Calculation 2 6 12 2" xfId="712" xr:uid="{00000000-0005-0000-0000-00002A020000}"/>
    <cellStyle name="Calculation 2 6 12 3" xfId="713" xr:uid="{00000000-0005-0000-0000-00002B020000}"/>
    <cellStyle name="Calculation 2 6 12 4" xfId="714" xr:uid="{00000000-0005-0000-0000-00002C020000}"/>
    <cellStyle name="Calculation 2 6 12 5" xfId="715" xr:uid="{00000000-0005-0000-0000-00002D020000}"/>
    <cellStyle name="Calculation 2 6 13" xfId="716" xr:uid="{00000000-0005-0000-0000-00002E020000}"/>
    <cellStyle name="Calculation 2 6 13 2" xfId="717" xr:uid="{00000000-0005-0000-0000-00002F020000}"/>
    <cellStyle name="Calculation 2 6 13 3" xfId="718" xr:uid="{00000000-0005-0000-0000-000030020000}"/>
    <cellStyle name="Calculation 2 6 13 4" xfId="719" xr:uid="{00000000-0005-0000-0000-000031020000}"/>
    <cellStyle name="Calculation 2 6 13 5" xfId="720" xr:uid="{00000000-0005-0000-0000-000032020000}"/>
    <cellStyle name="Calculation 2 6 14" xfId="721" xr:uid="{00000000-0005-0000-0000-000033020000}"/>
    <cellStyle name="Calculation 2 6 14 2" xfId="722" xr:uid="{00000000-0005-0000-0000-000034020000}"/>
    <cellStyle name="Calculation 2 6 14 3" xfId="723" xr:uid="{00000000-0005-0000-0000-000035020000}"/>
    <cellStyle name="Calculation 2 6 14 4" xfId="724" xr:uid="{00000000-0005-0000-0000-000036020000}"/>
    <cellStyle name="Calculation 2 6 14 5" xfId="725" xr:uid="{00000000-0005-0000-0000-000037020000}"/>
    <cellStyle name="Calculation 2 6 15" xfId="726" xr:uid="{00000000-0005-0000-0000-000038020000}"/>
    <cellStyle name="Calculation 2 6 15 2" xfId="727" xr:uid="{00000000-0005-0000-0000-000039020000}"/>
    <cellStyle name="Calculation 2 6 15 3" xfId="728" xr:uid="{00000000-0005-0000-0000-00003A020000}"/>
    <cellStyle name="Calculation 2 6 15 4" xfId="729" xr:uid="{00000000-0005-0000-0000-00003B020000}"/>
    <cellStyle name="Calculation 2 6 15 5" xfId="730" xr:uid="{00000000-0005-0000-0000-00003C020000}"/>
    <cellStyle name="Calculation 2 6 16" xfId="731" xr:uid="{00000000-0005-0000-0000-00003D020000}"/>
    <cellStyle name="Calculation 2 6 16 2" xfId="732" xr:uid="{00000000-0005-0000-0000-00003E020000}"/>
    <cellStyle name="Calculation 2 6 16 3" xfId="733" xr:uid="{00000000-0005-0000-0000-00003F020000}"/>
    <cellStyle name="Calculation 2 6 16 4" xfId="734" xr:uid="{00000000-0005-0000-0000-000040020000}"/>
    <cellStyle name="Calculation 2 6 16 5" xfId="735" xr:uid="{00000000-0005-0000-0000-000041020000}"/>
    <cellStyle name="Calculation 2 6 17" xfId="736" xr:uid="{00000000-0005-0000-0000-000042020000}"/>
    <cellStyle name="Calculation 2 6 17 2" xfId="737" xr:uid="{00000000-0005-0000-0000-000043020000}"/>
    <cellStyle name="Calculation 2 6 17 3" xfId="738" xr:uid="{00000000-0005-0000-0000-000044020000}"/>
    <cellStyle name="Calculation 2 6 17 4" xfId="739" xr:uid="{00000000-0005-0000-0000-000045020000}"/>
    <cellStyle name="Calculation 2 6 17 5" xfId="740" xr:uid="{00000000-0005-0000-0000-000046020000}"/>
    <cellStyle name="Calculation 2 6 18" xfId="741" xr:uid="{00000000-0005-0000-0000-000047020000}"/>
    <cellStyle name="Calculation 2 6 18 2" xfId="742" xr:uid="{00000000-0005-0000-0000-000048020000}"/>
    <cellStyle name="Calculation 2 6 18 3" xfId="743" xr:uid="{00000000-0005-0000-0000-000049020000}"/>
    <cellStyle name="Calculation 2 6 18 4" xfId="744" xr:uid="{00000000-0005-0000-0000-00004A020000}"/>
    <cellStyle name="Calculation 2 6 18 5" xfId="745" xr:uid="{00000000-0005-0000-0000-00004B020000}"/>
    <cellStyle name="Calculation 2 6 19" xfId="746" xr:uid="{00000000-0005-0000-0000-00004C020000}"/>
    <cellStyle name="Calculation 2 6 19 2" xfId="747" xr:uid="{00000000-0005-0000-0000-00004D020000}"/>
    <cellStyle name="Calculation 2 6 19 3" xfId="748" xr:uid="{00000000-0005-0000-0000-00004E020000}"/>
    <cellStyle name="Calculation 2 6 19 4" xfId="749" xr:uid="{00000000-0005-0000-0000-00004F020000}"/>
    <cellStyle name="Calculation 2 6 19 5" xfId="750" xr:uid="{00000000-0005-0000-0000-000050020000}"/>
    <cellStyle name="Calculation 2 6 2" xfId="751" xr:uid="{00000000-0005-0000-0000-000051020000}"/>
    <cellStyle name="Calculation 2 6 2 2" xfId="752" xr:uid="{00000000-0005-0000-0000-000052020000}"/>
    <cellStyle name="Calculation 2 6 2 3" xfId="753" xr:uid="{00000000-0005-0000-0000-000053020000}"/>
    <cellStyle name="Calculation 2 6 2 4" xfId="754" xr:uid="{00000000-0005-0000-0000-000054020000}"/>
    <cellStyle name="Calculation 2 6 2 5" xfId="755" xr:uid="{00000000-0005-0000-0000-000055020000}"/>
    <cellStyle name="Calculation 2 6 20" xfId="756" xr:uid="{00000000-0005-0000-0000-000056020000}"/>
    <cellStyle name="Calculation 2 6 20 2" xfId="757" xr:uid="{00000000-0005-0000-0000-000057020000}"/>
    <cellStyle name="Calculation 2 6 20 3" xfId="758" xr:uid="{00000000-0005-0000-0000-000058020000}"/>
    <cellStyle name="Calculation 2 6 20 4" xfId="759" xr:uid="{00000000-0005-0000-0000-000059020000}"/>
    <cellStyle name="Calculation 2 6 20 5" xfId="760" xr:uid="{00000000-0005-0000-0000-00005A020000}"/>
    <cellStyle name="Calculation 2 6 21" xfId="761" xr:uid="{00000000-0005-0000-0000-00005B020000}"/>
    <cellStyle name="Calculation 2 6 21 2" xfId="762" xr:uid="{00000000-0005-0000-0000-00005C020000}"/>
    <cellStyle name="Calculation 2 6 21 3" xfId="763" xr:uid="{00000000-0005-0000-0000-00005D020000}"/>
    <cellStyle name="Calculation 2 6 21 4" xfId="764" xr:uid="{00000000-0005-0000-0000-00005E020000}"/>
    <cellStyle name="Calculation 2 6 21 5" xfId="765" xr:uid="{00000000-0005-0000-0000-00005F020000}"/>
    <cellStyle name="Calculation 2 6 22" xfId="766" xr:uid="{00000000-0005-0000-0000-000060020000}"/>
    <cellStyle name="Calculation 2 6 22 2" xfId="767" xr:uid="{00000000-0005-0000-0000-000061020000}"/>
    <cellStyle name="Calculation 2 6 22 3" xfId="768" xr:uid="{00000000-0005-0000-0000-000062020000}"/>
    <cellStyle name="Calculation 2 6 22 4" xfId="769" xr:uid="{00000000-0005-0000-0000-000063020000}"/>
    <cellStyle name="Calculation 2 6 23" xfId="770" xr:uid="{00000000-0005-0000-0000-000064020000}"/>
    <cellStyle name="Calculation 2 6 23 2" xfId="771" xr:uid="{00000000-0005-0000-0000-000065020000}"/>
    <cellStyle name="Calculation 2 6 23 3" xfId="772" xr:uid="{00000000-0005-0000-0000-000066020000}"/>
    <cellStyle name="Calculation 2 6 23 4" xfId="773" xr:uid="{00000000-0005-0000-0000-000067020000}"/>
    <cellStyle name="Calculation 2 6 24" xfId="774" xr:uid="{00000000-0005-0000-0000-000068020000}"/>
    <cellStyle name="Calculation 2 6 24 2" xfId="775" xr:uid="{00000000-0005-0000-0000-000069020000}"/>
    <cellStyle name="Calculation 2 6 24 3" xfId="776" xr:uid="{00000000-0005-0000-0000-00006A020000}"/>
    <cellStyle name="Calculation 2 6 24 4" xfId="777" xr:uid="{00000000-0005-0000-0000-00006B020000}"/>
    <cellStyle name="Calculation 2 6 25" xfId="778" xr:uid="{00000000-0005-0000-0000-00006C020000}"/>
    <cellStyle name="Calculation 2 6 25 2" xfId="779" xr:uid="{00000000-0005-0000-0000-00006D020000}"/>
    <cellStyle name="Calculation 2 6 25 3" xfId="780" xr:uid="{00000000-0005-0000-0000-00006E020000}"/>
    <cellStyle name="Calculation 2 6 25 4" xfId="781" xr:uid="{00000000-0005-0000-0000-00006F020000}"/>
    <cellStyle name="Calculation 2 6 3" xfId="782" xr:uid="{00000000-0005-0000-0000-000070020000}"/>
    <cellStyle name="Calculation 2 6 3 2" xfId="783" xr:uid="{00000000-0005-0000-0000-000071020000}"/>
    <cellStyle name="Calculation 2 6 3 3" xfId="784" xr:uid="{00000000-0005-0000-0000-000072020000}"/>
    <cellStyle name="Calculation 2 6 3 4" xfId="785" xr:uid="{00000000-0005-0000-0000-000073020000}"/>
    <cellStyle name="Calculation 2 6 3 5" xfId="786" xr:uid="{00000000-0005-0000-0000-000074020000}"/>
    <cellStyle name="Calculation 2 6 4" xfId="787" xr:uid="{00000000-0005-0000-0000-000075020000}"/>
    <cellStyle name="Calculation 2 6 4 2" xfId="788" xr:uid="{00000000-0005-0000-0000-000076020000}"/>
    <cellStyle name="Calculation 2 6 4 3" xfId="789" xr:uid="{00000000-0005-0000-0000-000077020000}"/>
    <cellStyle name="Calculation 2 6 4 4" xfId="790" xr:uid="{00000000-0005-0000-0000-000078020000}"/>
    <cellStyle name="Calculation 2 6 4 5" xfId="791" xr:uid="{00000000-0005-0000-0000-000079020000}"/>
    <cellStyle name="Calculation 2 6 5" xfId="792" xr:uid="{00000000-0005-0000-0000-00007A020000}"/>
    <cellStyle name="Calculation 2 6 5 2" xfId="793" xr:uid="{00000000-0005-0000-0000-00007B020000}"/>
    <cellStyle name="Calculation 2 6 5 3" xfId="794" xr:uid="{00000000-0005-0000-0000-00007C020000}"/>
    <cellStyle name="Calculation 2 6 5 4" xfId="795" xr:uid="{00000000-0005-0000-0000-00007D020000}"/>
    <cellStyle name="Calculation 2 6 5 5" xfId="796" xr:uid="{00000000-0005-0000-0000-00007E020000}"/>
    <cellStyle name="Calculation 2 6 6" xfId="797" xr:uid="{00000000-0005-0000-0000-00007F020000}"/>
    <cellStyle name="Calculation 2 6 6 2" xfId="798" xr:uid="{00000000-0005-0000-0000-000080020000}"/>
    <cellStyle name="Calculation 2 6 6 3" xfId="799" xr:uid="{00000000-0005-0000-0000-000081020000}"/>
    <cellStyle name="Calculation 2 6 6 4" xfId="800" xr:uid="{00000000-0005-0000-0000-000082020000}"/>
    <cellStyle name="Calculation 2 6 6 5" xfId="801" xr:uid="{00000000-0005-0000-0000-000083020000}"/>
    <cellStyle name="Calculation 2 6 7" xfId="802" xr:uid="{00000000-0005-0000-0000-000084020000}"/>
    <cellStyle name="Calculation 2 6 7 2" xfId="803" xr:uid="{00000000-0005-0000-0000-000085020000}"/>
    <cellStyle name="Calculation 2 6 7 3" xfId="804" xr:uid="{00000000-0005-0000-0000-000086020000}"/>
    <cellStyle name="Calculation 2 6 7 4" xfId="805" xr:uid="{00000000-0005-0000-0000-000087020000}"/>
    <cellStyle name="Calculation 2 6 7 5" xfId="806" xr:uid="{00000000-0005-0000-0000-000088020000}"/>
    <cellStyle name="Calculation 2 6 8" xfId="807" xr:uid="{00000000-0005-0000-0000-000089020000}"/>
    <cellStyle name="Calculation 2 6 8 2" xfId="808" xr:uid="{00000000-0005-0000-0000-00008A020000}"/>
    <cellStyle name="Calculation 2 6 8 3" xfId="809" xr:uid="{00000000-0005-0000-0000-00008B020000}"/>
    <cellStyle name="Calculation 2 6 8 4" xfId="810" xr:uid="{00000000-0005-0000-0000-00008C020000}"/>
    <cellStyle name="Calculation 2 6 8 5" xfId="811" xr:uid="{00000000-0005-0000-0000-00008D020000}"/>
    <cellStyle name="Calculation 2 6 9" xfId="812" xr:uid="{00000000-0005-0000-0000-00008E020000}"/>
    <cellStyle name="Calculation 2 6 9 2" xfId="813" xr:uid="{00000000-0005-0000-0000-00008F020000}"/>
    <cellStyle name="Calculation 2 6 9 3" xfId="814" xr:uid="{00000000-0005-0000-0000-000090020000}"/>
    <cellStyle name="Calculation 2 6 9 4" xfId="815" xr:uid="{00000000-0005-0000-0000-000091020000}"/>
    <cellStyle name="Calculation 2 6 9 5" xfId="816" xr:uid="{00000000-0005-0000-0000-000092020000}"/>
    <cellStyle name="Calculation 2 7" xfId="817" xr:uid="{00000000-0005-0000-0000-000093020000}"/>
    <cellStyle name="Calculation 2 7 2" xfId="818" xr:uid="{00000000-0005-0000-0000-000094020000}"/>
    <cellStyle name="Calculation 2 7 3" xfId="819" xr:uid="{00000000-0005-0000-0000-000095020000}"/>
    <cellStyle name="Calculation 2 7 4" xfId="820" xr:uid="{00000000-0005-0000-0000-000096020000}"/>
    <cellStyle name="Calculation 2 7 5" xfId="821" xr:uid="{00000000-0005-0000-0000-000097020000}"/>
    <cellStyle name="Calculation 2 8" xfId="822" xr:uid="{00000000-0005-0000-0000-000098020000}"/>
    <cellStyle name="Calculation 2 8 2" xfId="823" xr:uid="{00000000-0005-0000-0000-000099020000}"/>
    <cellStyle name="Calculation 2 8 3" xfId="824" xr:uid="{00000000-0005-0000-0000-00009A020000}"/>
    <cellStyle name="Calculation 2 8 4" xfId="825" xr:uid="{00000000-0005-0000-0000-00009B020000}"/>
    <cellStyle name="Calculation 2 8 5" xfId="826" xr:uid="{00000000-0005-0000-0000-00009C020000}"/>
    <cellStyle name="Calculation 2 9" xfId="827" xr:uid="{00000000-0005-0000-0000-00009D020000}"/>
    <cellStyle name="Calculation 2 9 2" xfId="828" xr:uid="{00000000-0005-0000-0000-00009E020000}"/>
    <cellStyle name="Calculation 2 9 3" xfId="829" xr:uid="{00000000-0005-0000-0000-00009F020000}"/>
    <cellStyle name="Calculation 2 9 4" xfId="830" xr:uid="{00000000-0005-0000-0000-0000A0020000}"/>
    <cellStyle name="Calculation 2 9 5" xfId="831" xr:uid="{00000000-0005-0000-0000-0000A1020000}"/>
    <cellStyle name="centre across selection" xfId="54" xr:uid="{00000000-0005-0000-0000-0000A2020000}"/>
    <cellStyle name="cf1" xfId="187" xr:uid="{00000000-0005-0000-0000-0000A3020000}"/>
    <cellStyle name="cf2" xfId="188" xr:uid="{00000000-0005-0000-0000-0000A4020000}"/>
    <cellStyle name="cf3" xfId="189" xr:uid="{00000000-0005-0000-0000-0000A5020000}"/>
    <cellStyle name="cf4" xfId="190" xr:uid="{00000000-0005-0000-0000-0000A6020000}"/>
    <cellStyle name="cf5" xfId="191" xr:uid="{00000000-0005-0000-0000-0000A7020000}"/>
    <cellStyle name="cf6" xfId="192" xr:uid="{00000000-0005-0000-0000-0000A8020000}"/>
    <cellStyle name="Check Cell 2" xfId="55" xr:uid="{00000000-0005-0000-0000-0000A9020000}"/>
    <cellStyle name="Check Cell 2 2" xfId="832" xr:uid="{00000000-0005-0000-0000-0000AA020000}"/>
    <cellStyle name="Check Cell 2 3" xfId="833" xr:uid="{00000000-0005-0000-0000-0000AB020000}"/>
    <cellStyle name="Check Cell 3" xfId="834" xr:uid="{00000000-0005-0000-0000-0000AC020000}"/>
    <cellStyle name="Comma" xfId="1" builtinId="3"/>
    <cellStyle name="Comma 10" xfId="835" xr:uid="{00000000-0005-0000-0000-0000AE020000}"/>
    <cellStyle name="Comma 10 2" xfId="836" xr:uid="{00000000-0005-0000-0000-0000AF020000}"/>
    <cellStyle name="Comma 11" xfId="837" xr:uid="{00000000-0005-0000-0000-0000B0020000}"/>
    <cellStyle name="Comma 2" xfId="56" xr:uid="{00000000-0005-0000-0000-0000B1020000}"/>
    <cellStyle name="Comma 2 10" xfId="838" xr:uid="{00000000-0005-0000-0000-0000B2020000}"/>
    <cellStyle name="Comma 2 11" xfId="839" xr:uid="{00000000-0005-0000-0000-0000B3020000}"/>
    <cellStyle name="Comma 2 12" xfId="840" xr:uid="{00000000-0005-0000-0000-0000B4020000}"/>
    <cellStyle name="Comma 2 12 2" xfId="841" xr:uid="{00000000-0005-0000-0000-0000B5020000}"/>
    <cellStyle name="Comma 2 13" xfId="842" xr:uid="{00000000-0005-0000-0000-0000B6020000}"/>
    <cellStyle name="Comma 2 14" xfId="843" xr:uid="{00000000-0005-0000-0000-0000B7020000}"/>
    <cellStyle name="Comma 2 2" xfId="193" xr:uid="{00000000-0005-0000-0000-0000B8020000}"/>
    <cellStyle name="Comma 2 2 2" xfId="194" xr:uid="{00000000-0005-0000-0000-0000B9020000}"/>
    <cellStyle name="Comma 2 2 2 2" xfId="844" xr:uid="{00000000-0005-0000-0000-0000BA020000}"/>
    <cellStyle name="Comma 2 2 3" xfId="845" xr:uid="{00000000-0005-0000-0000-0000BB020000}"/>
    <cellStyle name="Comma 2 2 4" xfId="3916" xr:uid="{00000000-0005-0000-0000-0000BC020000}"/>
    <cellStyle name="Comma 2 3" xfId="195" xr:uid="{00000000-0005-0000-0000-0000BD020000}"/>
    <cellStyle name="Comma 2 3 2" xfId="846" xr:uid="{00000000-0005-0000-0000-0000BE020000}"/>
    <cellStyle name="Comma 2 3 3" xfId="3921" xr:uid="{00000000-0005-0000-0000-0000BF020000}"/>
    <cellStyle name="Comma 2 3 4" xfId="3957" xr:uid="{00000000-0005-0000-0000-0000C0020000}"/>
    <cellStyle name="Comma 2 4" xfId="847" xr:uid="{00000000-0005-0000-0000-0000C1020000}"/>
    <cellStyle name="Comma 2 5" xfId="848" xr:uid="{00000000-0005-0000-0000-0000C2020000}"/>
    <cellStyle name="Comma 2 6" xfId="849" xr:uid="{00000000-0005-0000-0000-0000C3020000}"/>
    <cellStyle name="Comma 2 7" xfId="850" xr:uid="{00000000-0005-0000-0000-0000C4020000}"/>
    <cellStyle name="Comma 2 8" xfId="851" xr:uid="{00000000-0005-0000-0000-0000C5020000}"/>
    <cellStyle name="Comma 2 9" xfId="852" xr:uid="{00000000-0005-0000-0000-0000C6020000}"/>
    <cellStyle name="Comma 3" xfId="57" xr:uid="{00000000-0005-0000-0000-0000C7020000}"/>
    <cellStyle name="Comma 3 2" xfId="196" xr:uid="{00000000-0005-0000-0000-0000C8020000}"/>
    <cellStyle name="Comma 3 3" xfId="853" xr:uid="{00000000-0005-0000-0000-0000C9020000}"/>
    <cellStyle name="Comma 3 3 2" xfId="3939" xr:uid="{00000000-0005-0000-0000-0000CA020000}"/>
    <cellStyle name="Comma 3 4" xfId="854" xr:uid="{00000000-0005-0000-0000-0000CB020000}"/>
    <cellStyle name="Comma 3 4 2" xfId="3925" xr:uid="{00000000-0005-0000-0000-0000CC020000}"/>
    <cellStyle name="Comma 3 5" xfId="855" xr:uid="{00000000-0005-0000-0000-0000CD020000}"/>
    <cellStyle name="Comma 3 6" xfId="856" xr:uid="{00000000-0005-0000-0000-0000CE020000}"/>
    <cellStyle name="Comma 3 7" xfId="857" xr:uid="{00000000-0005-0000-0000-0000CF020000}"/>
    <cellStyle name="Comma 4" xfId="58" xr:uid="{00000000-0005-0000-0000-0000D0020000}"/>
    <cellStyle name="Comma 4 2" xfId="858" xr:uid="{00000000-0005-0000-0000-0000D1020000}"/>
    <cellStyle name="Comma 4 3" xfId="859" xr:uid="{00000000-0005-0000-0000-0000D2020000}"/>
    <cellStyle name="Comma 4 4" xfId="860" xr:uid="{00000000-0005-0000-0000-0000D3020000}"/>
    <cellStyle name="Comma 4 5" xfId="861" xr:uid="{00000000-0005-0000-0000-0000D4020000}"/>
    <cellStyle name="Comma 4 6" xfId="862" xr:uid="{00000000-0005-0000-0000-0000D5020000}"/>
    <cellStyle name="Comma 5" xfId="197" xr:uid="{00000000-0005-0000-0000-0000D6020000}"/>
    <cellStyle name="Comma 5 2" xfId="863" xr:uid="{00000000-0005-0000-0000-0000D7020000}"/>
    <cellStyle name="Comma 5 3" xfId="864" xr:uid="{00000000-0005-0000-0000-0000D8020000}"/>
    <cellStyle name="Comma 5 4" xfId="865" xr:uid="{00000000-0005-0000-0000-0000D9020000}"/>
    <cellStyle name="Comma 5 5" xfId="866" xr:uid="{00000000-0005-0000-0000-0000DA020000}"/>
    <cellStyle name="Comma 6" xfId="198" xr:uid="{00000000-0005-0000-0000-0000DB020000}"/>
    <cellStyle name="Comma 6 2" xfId="867" xr:uid="{00000000-0005-0000-0000-0000DC020000}"/>
    <cellStyle name="Comma 6 3" xfId="868" xr:uid="{00000000-0005-0000-0000-0000DD020000}"/>
    <cellStyle name="Comma 6 4" xfId="869" xr:uid="{00000000-0005-0000-0000-0000DE020000}"/>
    <cellStyle name="Comma 6 5" xfId="870" xr:uid="{00000000-0005-0000-0000-0000DF020000}"/>
    <cellStyle name="Comma 7" xfId="871" xr:uid="{00000000-0005-0000-0000-0000E0020000}"/>
    <cellStyle name="Comma 7 2" xfId="872" xr:uid="{00000000-0005-0000-0000-0000E1020000}"/>
    <cellStyle name="Comma 7 3" xfId="873" xr:uid="{00000000-0005-0000-0000-0000E2020000}"/>
    <cellStyle name="Comma 8" xfId="874" xr:uid="{00000000-0005-0000-0000-0000E3020000}"/>
    <cellStyle name="Comma 8 2" xfId="875" xr:uid="{00000000-0005-0000-0000-0000E4020000}"/>
    <cellStyle name="Comma 8 3" xfId="876" xr:uid="{00000000-0005-0000-0000-0000E5020000}"/>
    <cellStyle name="Comma 8 4" xfId="877" xr:uid="{00000000-0005-0000-0000-0000E6020000}"/>
    <cellStyle name="Comma 9" xfId="878" xr:uid="{00000000-0005-0000-0000-0000E7020000}"/>
    <cellStyle name="Comma 9 2" xfId="879" xr:uid="{00000000-0005-0000-0000-0000E8020000}"/>
    <cellStyle name="Comma0" xfId="59" xr:uid="{00000000-0005-0000-0000-0000E9020000}"/>
    <cellStyle name="Currency 14" xfId="3961" xr:uid="{00000000-0005-0000-0000-0000EB020000}"/>
    <cellStyle name="Currency 14 12 10" xfId="3966" xr:uid="{3B3D72DD-C276-48BA-8E22-B094E81F04A9}"/>
    <cellStyle name="Currency 14 21" xfId="3965" xr:uid="{F3617526-4F11-45D7-A252-1D34435693CC}"/>
    <cellStyle name="Currency 14 24" xfId="3968" xr:uid="{93E1532C-FD5D-4210-A005-21E1943881AF}"/>
    <cellStyle name="Currency 2" xfId="60" xr:uid="{00000000-0005-0000-0000-0000EC020000}"/>
    <cellStyle name="Currency 2 2" xfId="209" xr:uid="{00000000-0005-0000-0000-0000ED020000}"/>
    <cellStyle name="Currency 2 2 2" xfId="880" xr:uid="{00000000-0005-0000-0000-0000EE020000}"/>
    <cellStyle name="Currency 2 2 3" xfId="881" xr:uid="{00000000-0005-0000-0000-0000EF020000}"/>
    <cellStyle name="Currency 2 3" xfId="882" xr:uid="{00000000-0005-0000-0000-0000F0020000}"/>
    <cellStyle name="Currency 2 4" xfId="883" xr:uid="{00000000-0005-0000-0000-0000F1020000}"/>
    <cellStyle name="Currency 2 5" xfId="884" xr:uid="{00000000-0005-0000-0000-0000F2020000}"/>
    <cellStyle name="Currency 2 6" xfId="885" xr:uid="{00000000-0005-0000-0000-0000F3020000}"/>
    <cellStyle name="Currency 3" xfId="61" xr:uid="{00000000-0005-0000-0000-0000F4020000}"/>
    <cellStyle name="Currency 3 2" xfId="199" xr:uid="{00000000-0005-0000-0000-0000F5020000}"/>
    <cellStyle name="Currency 3 2 2" xfId="886" xr:uid="{00000000-0005-0000-0000-0000F6020000}"/>
    <cellStyle name="Currency 3 2 3" xfId="887" xr:uid="{00000000-0005-0000-0000-0000F7020000}"/>
    <cellStyle name="Currency 3 2 4" xfId="888" xr:uid="{00000000-0005-0000-0000-0000F8020000}"/>
    <cellStyle name="Currency 3 3" xfId="889" xr:uid="{00000000-0005-0000-0000-0000F9020000}"/>
    <cellStyle name="Currency 3 3 2" xfId="3940" xr:uid="{00000000-0005-0000-0000-0000FA020000}"/>
    <cellStyle name="Currency 3 4" xfId="890" xr:uid="{00000000-0005-0000-0000-0000FB020000}"/>
    <cellStyle name="Currency 3 5" xfId="891" xr:uid="{00000000-0005-0000-0000-0000FC020000}"/>
    <cellStyle name="Currency 3 5 2" xfId="892" xr:uid="{00000000-0005-0000-0000-0000FD020000}"/>
    <cellStyle name="Currency 3 6" xfId="893" xr:uid="{00000000-0005-0000-0000-0000FE020000}"/>
    <cellStyle name="Currency 3 7" xfId="894" xr:uid="{00000000-0005-0000-0000-0000FF020000}"/>
    <cellStyle name="Currency 4" xfId="62" xr:uid="{00000000-0005-0000-0000-000000030000}"/>
    <cellStyle name="Currency 4 2" xfId="895" xr:uid="{00000000-0005-0000-0000-000001030000}"/>
    <cellStyle name="Currency 4 3" xfId="896" xr:uid="{00000000-0005-0000-0000-000002030000}"/>
    <cellStyle name="Currency 4 4" xfId="897" xr:uid="{00000000-0005-0000-0000-000003030000}"/>
    <cellStyle name="Currency 4 5" xfId="898" xr:uid="{00000000-0005-0000-0000-000004030000}"/>
    <cellStyle name="Currency 5" xfId="200" xr:uid="{00000000-0005-0000-0000-000005030000}"/>
    <cellStyle name="Currency 5 2" xfId="899" xr:uid="{00000000-0005-0000-0000-000006030000}"/>
    <cellStyle name="Currency 5 3" xfId="900" xr:uid="{00000000-0005-0000-0000-000007030000}"/>
    <cellStyle name="Currency 6" xfId="901" xr:uid="{00000000-0005-0000-0000-000008030000}"/>
    <cellStyle name="Currency 6 2" xfId="902" xr:uid="{00000000-0005-0000-0000-000009030000}"/>
    <cellStyle name="Currency 7" xfId="903" xr:uid="{00000000-0005-0000-0000-00000A030000}"/>
    <cellStyle name="Currency 7 2" xfId="904" xr:uid="{00000000-0005-0000-0000-00000B030000}"/>
    <cellStyle name="Currency 8" xfId="905" xr:uid="{00000000-0005-0000-0000-00000C030000}"/>
    <cellStyle name="Currency 9" xfId="906" xr:uid="{00000000-0005-0000-0000-00000D030000}"/>
    <cellStyle name="Currency 9 2" xfId="907" xr:uid="{00000000-0005-0000-0000-00000E030000}"/>
    <cellStyle name="dataEntry" xfId="3926" xr:uid="{00000000-0005-0000-0000-00000F030000}"/>
    <cellStyle name="DetailStyleText" xfId="908" xr:uid="{00000000-0005-0000-0000-000010030000}"/>
    <cellStyle name="Emphasis 1" xfId="909" xr:uid="{00000000-0005-0000-0000-000011030000}"/>
    <cellStyle name="Emphasis 2" xfId="910" xr:uid="{00000000-0005-0000-0000-000012030000}"/>
    <cellStyle name="Emphasis 3" xfId="911" xr:uid="{00000000-0005-0000-0000-000013030000}"/>
    <cellStyle name="Estimated" xfId="63" xr:uid="{00000000-0005-0000-0000-000014030000}"/>
    <cellStyle name="Euro" xfId="64" xr:uid="{00000000-0005-0000-0000-000015030000}"/>
    <cellStyle name="Èurrency [0]" xfId="912" xr:uid="{00000000-0005-0000-0000-000016030000}"/>
    <cellStyle name="Explanatory Text 2" xfId="65" xr:uid="{00000000-0005-0000-0000-000017030000}"/>
    <cellStyle name="Explanatory Text 2 2" xfId="913" xr:uid="{00000000-0005-0000-0000-000018030000}"/>
    <cellStyle name="external input" xfId="66" xr:uid="{00000000-0005-0000-0000-000019030000}"/>
    <cellStyle name="FinancialTitleStyle" xfId="914" xr:uid="{00000000-0005-0000-0000-00001A030000}"/>
    <cellStyle name="Fixed" xfId="67" xr:uid="{00000000-0005-0000-0000-00001B030000}"/>
    <cellStyle name="Followed Hyperlink 10" xfId="915" xr:uid="{00000000-0005-0000-0000-00001C030000}"/>
    <cellStyle name="Followed Hyperlink 10 2" xfId="916" xr:uid="{00000000-0005-0000-0000-00001D030000}"/>
    <cellStyle name="Followed Hyperlink 2" xfId="917" xr:uid="{00000000-0005-0000-0000-00001E030000}"/>
    <cellStyle name="Followed Hyperlink 2 2" xfId="918" xr:uid="{00000000-0005-0000-0000-00001F030000}"/>
    <cellStyle name="Followed Hyperlink 3" xfId="919" xr:uid="{00000000-0005-0000-0000-000020030000}"/>
    <cellStyle name="Followed Hyperlink 3 2" xfId="920" xr:uid="{00000000-0005-0000-0000-000021030000}"/>
    <cellStyle name="Followed Hyperlink 4" xfId="921" xr:uid="{00000000-0005-0000-0000-000022030000}"/>
    <cellStyle name="Followed Hyperlink 4 2" xfId="922" xr:uid="{00000000-0005-0000-0000-000023030000}"/>
    <cellStyle name="Followed Hyperlink 5" xfId="923" xr:uid="{00000000-0005-0000-0000-000024030000}"/>
    <cellStyle name="Followed Hyperlink 5 2" xfId="924" xr:uid="{00000000-0005-0000-0000-000025030000}"/>
    <cellStyle name="Followed Hyperlink 6" xfId="925" xr:uid="{00000000-0005-0000-0000-000026030000}"/>
    <cellStyle name="Followed Hyperlink 6 2" xfId="926" xr:uid="{00000000-0005-0000-0000-000027030000}"/>
    <cellStyle name="Followed Hyperlink 7" xfId="927" xr:uid="{00000000-0005-0000-0000-000028030000}"/>
    <cellStyle name="Followed Hyperlink 7 2" xfId="928" xr:uid="{00000000-0005-0000-0000-000029030000}"/>
    <cellStyle name="Followed Hyperlink 8" xfId="929" xr:uid="{00000000-0005-0000-0000-00002A030000}"/>
    <cellStyle name="Followed Hyperlink 8 2" xfId="930" xr:uid="{00000000-0005-0000-0000-00002B030000}"/>
    <cellStyle name="Followed Hyperlink 9" xfId="931" xr:uid="{00000000-0005-0000-0000-00002C030000}"/>
    <cellStyle name="Followed Hyperlink 9 2" xfId="932" xr:uid="{00000000-0005-0000-0000-00002D030000}"/>
    <cellStyle name="Good 2" xfId="68" xr:uid="{00000000-0005-0000-0000-00002E030000}"/>
    <cellStyle name="Good 2 2" xfId="933" xr:uid="{00000000-0005-0000-0000-00002F030000}"/>
    <cellStyle name="Good 2 3" xfId="934" xr:uid="{00000000-0005-0000-0000-000030030000}"/>
    <cellStyle name="Header" xfId="69" xr:uid="{00000000-0005-0000-0000-000031030000}"/>
    <cellStyle name="HeaderGrant" xfId="70" xr:uid="{00000000-0005-0000-0000-000032030000}"/>
    <cellStyle name="HeaderGrant 10" xfId="935" xr:uid="{00000000-0005-0000-0000-000033030000}"/>
    <cellStyle name="HeaderGrant 10 2" xfId="936" xr:uid="{00000000-0005-0000-0000-000034030000}"/>
    <cellStyle name="HeaderGrant 10 3" xfId="937" xr:uid="{00000000-0005-0000-0000-000035030000}"/>
    <cellStyle name="HeaderGrant 10 4" xfId="938" xr:uid="{00000000-0005-0000-0000-000036030000}"/>
    <cellStyle name="HeaderGrant 10 5" xfId="939" xr:uid="{00000000-0005-0000-0000-000037030000}"/>
    <cellStyle name="HeaderGrant 11" xfId="940" xr:uid="{00000000-0005-0000-0000-000038030000}"/>
    <cellStyle name="HeaderGrant 11 2" xfId="941" xr:uid="{00000000-0005-0000-0000-000039030000}"/>
    <cellStyle name="HeaderGrant 11 3" xfId="942" xr:uid="{00000000-0005-0000-0000-00003A030000}"/>
    <cellStyle name="HeaderGrant 11 4" xfId="943" xr:uid="{00000000-0005-0000-0000-00003B030000}"/>
    <cellStyle name="HeaderGrant 12" xfId="944" xr:uid="{00000000-0005-0000-0000-00003C030000}"/>
    <cellStyle name="HeaderGrant 12 2" xfId="945" xr:uid="{00000000-0005-0000-0000-00003D030000}"/>
    <cellStyle name="HeaderGrant 12 3" xfId="946" xr:uid="{00000000-0005-0000-0000-00003E030000}"/>
    <cellStyle name="HeaderGrant 12 4" xfId="947" xr:uid="{00000000-0005-0000-0000-00003F030000}"/>
    <cellStyle name="HeaderGrant 13" xfId="948" xr:uid="{00000000-0005-0000-0000-000040030000}"/>
    <cellStyle name="HeaderGrant 13 2" xfId="949" xr:uid="{00000000-0005-0000-0000-000041030000}"/>
    <cellStyle name="HeaderGrant 13 3" xfId="950" xr:uid="{00000000-0005-0000-0000-000042030000}"/>
    <cellStyle name="HeaderGrant 13 4" xfId="951" xr:uid="{00000000-0005-0000-0000-000043030000}"/>
    <cellStyle name="HeaderGrant 2" xfId="952" xr:uid="{00000000-0005-0000-0000-000044030000}"/>
    <cellStyle name="HeaderGrant 2 10" xfId="953" xr:uid="{00000000-0005-0000-0000-000045030000}"/>
    <cellStyle name="HeaderGrant 2 10 2" xfId="954" xr:uid="{00000000-0005-0000-0000-000046030000}"/>
    <cellStyle name="HeaderGrant 2 10 3" xfId="955" xr:uid="{00000000-0005-0000-0000-000047030000}"/>
    <cellStyle name="HeaderGrant 2 10 4" xfId="956" xr:uid="{00000000-0005-0000-0000-000048030000}"/>
    <cellStyle name="HeaderGrant 2 11" xfId="957" xr:uid="{00000000-0005-0000-0000-000049030000}"/>
    <cellStyle name="HeaderGrant 2 11 2" xfId="958" xr:uid="{00000000-0005-0000-0000-00004A030000}"/>
    <cellStyle name="HeaderGrant 2 11 3" xfId="959" xr:uid="{00000000-0005-0000-0000-00004B030000}"/>
    <cellStyle name="HeaderGrant 2 11 4" xfId="960" xr:uid="{00000000-0005-0000-0000-00004C030000}"/>
    <cellStyle name="HeaderGrant 2 12" xfId="961" xr:uid="{00000000-0005-0000-0000-00004D030000}"/>
    <cellStyle name="HeaderGrant 2 12 2" xfId="962" xr:uid="{00000000-0005-0000-0000-00004E030000}"/>
    <cellStyle name="HeaderGrant 2 12 3" xfId="963" xr:uid="{00000000-0005-0000-0000-00004F030000}"/>
    <cellStyle name="HeaderGrant 2 12 4" xfId="964" xr:uid="{00000000-0005-0000-0000-000050030000}"/>
    <cellStyle name="HeaderGrant 2 2" xfId="965" xr:uid="{00000000-0005-0000-0000-000051030000}"/>
    <cellStyle name="HeaderGrant 2 2 10" xfId="966" xr:uid="{00000000-0005-0000-0000-000052030000}"/>
    <cellStyle name="HeaderGrant 2 2 10 2" xfId="967" xr:uid="{00000000-0005-0000-0000-000053030000}"/>
    <cellStyle name="HeaderGrant 2 2 10 3" xfId="968" xr:uid="{00000000-0005-0000-0000-000054030000}"/>
    <cellStyle name="HeaderGrant 2 2 10 4" xfId="969" xr:uid="{00000000-0005-0000-0000-000055030000}"/>
    <cellStyle name="HeaderGrant 2 2 10 5" xfId="970" xr:uid="{00000000-0005-0000-0000-000056030000}"/>
    <cellStyle name="HeaderGrant 2 2 11" xfId="971" xr:uid="{00000000-0005-0000-0000-000057030000}"/>
    <cellStyle name="HeaderGrant 2 2 11 2" xfId="972" xr:uid="{00000000-0005-0000-0000-000058030000}"/>
    <cellStyle name="HeaderGrant 2 2 11 3" xfId="973" xr:uid="{00000000-0005-0000-0000-000059030000}"/>
    <cellStyle name="HeaderGrant 2 2 11 4" xfId="974" xr:uid="{00000000-0005-0000-0000-00005A030000}"/>
    <cellStyle name="HeaderGrant 2 2 12" xfId="975" xr:uid="{00000000-0005-0000-0000-00005B030000}"/>
    <cellStyle name="HeaderGrant 2 2 12 2" xfId="976" xr:uid="{00000000-0005-0000-0000-00005C030000}"/>
    <cellStyle name="HeaderGrant 2 2 12 3" xfId="977" xr:uid="{00000000-0005-0000-0000-00005D030000}"/>
    <cellStyle name="HeaderGrant 2 2 12 4" xfId="978" xr:uid="{00000000-0005-0000-0000-00005E030000}"/>
    <cellStyle name="HeaderGrant 2 2 13" xfId="979" xr:uid="{00000000-0005-0000-0000-00005F030000}"/>
    <cellStyle name="HeaderGrant 2 2 13 2" xfId="980" xr:uid="{00000000-0005-0000-0000-000060030000}"/>
    <cellStyle name="HeaderGrant 2 2 13 3" xfId="981" xr:uid="{00000000-0005-0000-0000-000061030000}"/>
    <cellStyle name="HeaderGrant 2 2 13 4" xfId="982" xr:uid="{00000000-0005-0000-0000-000062030000}"/>
    <cellStyle name="HeaderGrant 2 2 14" xfId="983" xr:uid="{00000000-0005-0000-0000-000063030000}"/>
    <cellStyle name="HeaderGrant 2 2 2" xfId="984" xr:uid="{00000000-0005-0000-0000-000064030000}"/>
    <cellStyle name="HeaderGrant 2 2 2 2" xfId="985" xr:uid="{00000000-0005-0000-0000-000065030000}"/>
    <cellStyle name="HeaderGrant 2 2 2 3" xfId="986" xr:uid="{00000000-0005-0000-0000-000066030000}"/>
    <cellStyle name="HeaderGrant 2 2 2 4" xfId="987" xr:uid="{00000000-0005-0000-0000-000067030000}"/>
    <cellStyle name="HeaderGrant 2 2 2 5" xfId="988" xr:uid="{00000000-0005-0000-0000-000068030000}"/>
    <cellStyle name="HeaderGrant 2 2 3" xfId="989" xr:uid="{00000000-0005-0000-0000-000069030000}"/>
    <cellStyle name="HeaderGrant 2 2 3 2" xfId="990" xr:uid="{00000000-0005-0000-0000-00006A030000}"/>
    <cellStyle name="HeaderGrant 2 2 3 3" xfId="991" xr:uid="{00000000-0005-0000-0000-00006B030000}"/>
    <cellStyle name="HeaderGrant 2 2 3 4" xfId="992" xr:uid="{00000000-0005-0000-0000-00006C030000}"/>
    <cellStyle name="HeaderGrant 2 2 3 5" xfId="993" xr:uid="{00000000-0005-0000-0000-00006D030000}"/>
    <cellStyle name="HeaderGrant 2 2 4" xfId="994" xr:uid="{00000000-0005-0000-0000-00006E030000}"/>
    <cellStyle name="HeaderGrant 2 2 4 2" xfId="995" xr:uid="{00000000-0005-0000-0000-00006F030000}"/>
    <cellStyle name="HeaderGrant 2 2 4 3" xfId="996" xr:uid="{00000000-0005-0000-0000-000070030000}"/>
    <cellStyle name="HeaderGrant 2 2 4 4" xfId="997" xr:uid="{00000000-0005-0000-0000-000071030000}"/>
    <cellStyle name="HeaderGrant 2 2 4 5" xfId="998" xr:uid="{00000000-0005-0000-0000-000072030000}"/>
    <cellStyle name="HeaderGrant 2 2 5" xfId="999" xr:uid="{00000000-0005-0000-0000-000073030000}"/>
    <cellStyle name="HeaderGrant 2 2 5 2" xfId="1000" xr:uid="{00000000-0005-0000-0000-000074030000}"/>
    <cellStyle name="HeaderGrant 2 2 5 3" xfId="1001" xr:uid="{00000000-0005-0000-0000-000075030000}"/>
    <cellStyle name="HeaderGrant 2 2 5 4" xfId="1002" xr:uid="{00000000-0005-0000-0000-000076030000}"/>
    <cellStyle name="HeaderGrant 2 2 5 5" xfId="1003" xr:uid="{00000000-0005-0000-0000-000077030000}"/>
    <cellStyle name="HeaderGrant 2 2 6" xfId="1004" xr:uid="{00000000-0005-0000-0000-000078030000}"/>
    <cellStyle name="HeaderGrant 2 2 6 2" xfId="1005" xr:uid="{00000000-0005-0000-0000-000079030000}"/>
    <cellStyle name="HeaderGrant 2 2 6 3" xfId="1006" xr:uid="{00000000-0005-0000-0000-00007A030000}"/>
    <cellStyle name="HeaderGrant 2 2 6 4" xfId="1007" xr:uid="{00000000-0005-0000-0000-00007B030000}"/>
    <cellStyle name="HeaderGrant 2 2 6 5" xfId="1008" xr:uid="{00000000-0005-0000-0000-00007C030000}"/>
    <cellStyle name="HeaderGrant 2 2 7" xfId="1009" xr:uid="{00000000-0005-0000-0000-00007D030000}"/>
    <cellStyle name="HeaderGrant 2 2 7 2" xfId="1010" xr:uid="{00000000-0005-0000-0000-00007E030000}"/>
    <cellStyle name="HeaderGrant 2 2 7 3" xfId="1011" xr:uid="{00000000-0005-0000-0000-00007F030000}"/>
    <cellStyle name="HeaderGrant 2 2 7 4" xfId="1012" xr:uid="{00000000-0005-0000-0000-000080030000}"/>
    <cellStyle name="HeaderGrant 2 2 7 5" xfId="1013" xr:uid="{00000000-0005-0000-0000-000081030000}"/>
    <cellStyle name="HeaderGrant 2 2 8" xfId="1014" xr:uid="{00000000-0005-0000-0000-000082030000}"/>
    <cellStyle name="HeaderGrant 2 2 8 2" xfId="1015" xr:uid="{00000000-0005-0000-0000-000083030000}"/>
    <cellStyle name="HeaderGrant 2 2 8 3" xfId="1016" xr:uid="{00000000-0005-0000-0000-000084030000}"/>
    <cellStyle name="HeaderGrant 2 2 8 4" xfId="1017" xr:uid="{00000000-0005-0000-0000-000085030000}"/>
    <cellStyle name="HeaderGrant 2 2 8 5" xfId="1018" xr:uid="{00000000-0005-0000-0000-000086030000}"/>
    <cellStyle name="HeaderGrant 2 2 9" xfId="1019" xr:uid="{00000000-0005-0000-0000-000087030000}"/>
    <cellStyle name="HeaderGrant 2 2 9 2" xfId="1020" xr:uid="{00000000-0005-0000-0000-000088030000}"/>
    <cellStyle name="HeaderGrant 2 2 9 3" xfId="1021" xr:uid="{00000000-0005-0000-0000-000089030000}"/>
    <cellStyle name="HeaderGrant 2 2 9 4" xfId="1022" xr:uid="{00000000-0005-0000-0000-00008A030000}"/>
    <cellStyle name="HeaderGrant 2 2 9 5" xfId="1023" xr:uid="{00000000-0005-0000-0000-00008B030000}"/>
    <cellStyle name="HeaderGrant 2 3" xfId="1024" xr:uid="{00000000-0005-0000-0000-00008C030000}"/>
    <cellStyle name="HeaderGrant 2 3 10" xfId="1025" xr:uid="{00000000-0005-0000-0000-00008D030000}"/>
    <cellStyle name="HeaderGrant 2 3 10 2" xfId="1026" xr:uid="{00000000-0005-0000-0000-00008E030000}"/>
    <cellStyle name="HeaderGrant 2 3 10 3" xfId="1027" xr:uid="{00000000-0005-0000-0000-00008F030000}"/>
    <cellStyle name="HeaderGrant 2 3 10 4" xfId="1028" xr:uid="{00000000-0005-0000-0000-000090030000}"/>
    <cellStyle name="HeaderGrant 2 3 10 5" xfId="1029" xr:uid="{00000000-0005-0000-0000-000091030000}"/>
    <cellStyle name="HeaderGrant 2 3 11" xfId="1030" xr:uid="{00000000-0005-0000-0000-000092030000}"/>
    <cellStyle name="HeaderGrant 2 3 11 2" xfId="1031" xr:uid="{00000000-0005-0000-0000-000093030000}"/>
    <cellStyle name="HeaderGrant 2 3 11 3" xfId="1032" xr:uid="{00000000-0005-0000-0000-000094030000}"/>
    <cellStyle name="HeaderGrant 2 3 11 4" xfId="1033" xr:uid="{00000000-0005-0000-0000-000095030000}"/>
    <cellStyle name="HeaderGrant 2 3 12" xfId="1034" xr:uid="{00000000-0005-0000-0000-000096030000}"/>
    <cellStyle name="HeaderGrant 2 3 12 2" xfId="1035" xr:uid="{00000000-0005-0000-0000-000097030000}"/>
    <cellStyle name="HeaderGrant 2 3 12 3" xfId="1036" xr:uid="{00000000-0005-0000-0000-000098030000}"/>
    <cellStyle name="HeaderGrant 2 3 12 4" xfId="1037" xr:uid="{00000000-0005-0000-0000-000099030000}"/>
    <cellStyle name="HeaderGrant 2 3 13" xfId="1038" xr:uid="{00000000-0005-0000-0000-00009A030000}"/>
    <cellStyle name="HeaderGrant 2 3 13 2" xfId="1039" xr:uid="{00000000-0005-0000-0000-00009B030000}"/>
    <cellStyle name="HeaderGrant 2 3 13 3" xfId="1040" xr:uid="{00000000-0005-0000-0000-00009C030000}"/>
    <cellStyle name="HeaderGrant 2 3 13 4" xfId="1041" xr:uid="{00000000-0005-0000-0000-00009D030000}"/>
    <cellStyle name="HeaderGrant 2 3 14" xfId="1042" xr:uid="{00000000-0005-0000-0000-00009E030000}"/>
    <cellStyle name="HeaderGrant 2 3 2" xfId="1043" xr:uid="{00000000-0005-0000-0000-00009F030000}"/>
    <cellStyle name="HeaderGrant 2 3 2 2" xfId="1044" xr:uid="{00000000-0005-0000-0000-0000A0030000}"/>
    <cellStyle name="HeaderGrant 2 3 2 3" xfId="1045" xr:uid="{00000000-0005-0000-0000-0000A1030000}"/>
    <cellStyle name="HeaderGrant 2 3 2 4" xfId="1046" xr:uid="{00000000-0005-0000-0000-0000A2030000}"/>
    <cellStyle name="HeaderGrant 2 3 2 5" xfId="1047" xr:uid="{00000000-0005-0000-0000-0000A3030000}"/>
    <cellStyle name="HeaderGrant 2 3 3" xfId="1048" xr:uid="{00000000-0005-0000-0000-0000A4030000}"/>
    <cellStyle name="HeaderGrant 2 3 3 2" xfId="1049" xr:uid="{00000000-0005-0000-0000-0000A5030000}"/>
    <cellStyle name="HeaderGrant 2 3 3 3" xfId="1050" xr:uid="{00000000-0005-0000-0000-0000A6030000}"/>
    <cellStyle name="HeaderGrant 2 3 3 4" xfId="1051" xr:uid="{00000000-0005-0000-0000-0000A7030000}"/>
    <cellStyle name="HeaderGrant 2 3 3 5" xfId="1052" xr:uid="{00000000-0005-0000-0000-0000A8030000}"/>
    <cellStyle name="HeaderGrant 2 3 4" xfId="1053" xr:uid="{00000000-0005-0000-0000-0000A9030000}"/>
    <cellStyle name="HeaderGrant 2 3 4 2" xfId="1054" xr:uid="{00000000-0005-0000-0000-0000AA030000}"/>
    <cellStyle name="HeaderGrant 2 3 4 3" xfId="1055" xr:uid="{00000000-0005-0000-0000-0000AB030000}"/>
    <cellStyle name="HeaderGrant 2 3 4 4" xfId="1056" xr:uid="{00000000-0005-0000-0000-0000AC030000}"/>
    <cellStyle name="HeaderGrant 2 3 4 5" xfId="1057" xr:uid="{00000000-0005-0000-0000-0000AD030000}"/>
    <cellStyle name="HeaderGrant 2 3 5" xfId="1058" xr:uid="{00000000-0005-0000-0000-0000AE030000}"/>
    <cellStyle name="HeaderGrant 2 3 5 2" xfId="1059" xr:uid="{00000000-0005-0000-0000-0000AF030000}"/>
    <cellStyle name="HeaderGrant 2 3 5 3" xfId="1060" xr:uid="{00000000-0005-0000-0000-0000B0030000}"/>
    <cellStyle name="HeaderGrant 2 3 5 4" xfId="1061" xr:uid="{00000000-0005-0000-0000-0000B1030000}"/>
    <cellStyle name="HeaderGrant 2 3 5 5" xfId="1062" xr:uid="{00000000-0005-0000-0000-0000B2030000}"/>
    <cellStyle name="HeaderGrant 2 3 6" xfId="1063" xr:uid="{00000000-0005-0000-0000-0000B3030000}"/>
    <cellStyle name="HeaderGrant 2 3 6 2" xfId="1064" xr:uid="{00000000-0005-0000-0000-0000B4030000}"/>
    <cellStyle name="HeaderGrant 2 3 6 3" xfId="1065" xr:uid="{00000000-0005-0000-0000-0000B5030000}"/>
    <cellStyle name="HeaderGrant 2 3 6 4" xfId="1066" xr:uid="{00000000-0005-0000-0000-0000B6030000}"/>
    <cellStyle name="HeaderGrant 2 3 6 5" xfId="1067" xr:uid="{00000000-0005-0000-0000-0000B7030000}"/>
    <cellStyle name="HeaderGrant 2 3 7" xfId="1068" xr:uid="{00000000-0005-0000-0000-0000B8030000}"/>
    <cellStyle name="HeaderGrant 2 3 7 2" xfId="1069" xr:uid="{00000000-0005-0000-0000-0000B9030000}"/>
    <cellStyle name="HeaderGrant 2 3 7 3" xfId="1070" xr:uid="{00000000-0005-0000-0000-0000BA030000}"/>
    <cellStyle name="HeaderGrant 2 3 7 4" xfId="1071" xr:uid="{00000000-0005-0000-0000-0000BB030000}"/>
    <cellStyle name="HeaderGrant 2 3 7 5" xfId="1072" xr:uid="{00000000-0005-0000-0000-0000BC030000}"/>
    <cellStyle name="HeaderGrant 2 3 8" xfId="1073" xr:uid="{00000000-0005-0000-0000-0000BD030000}"/>
    <cellStyle name="HeaderGrant 2 3 8 2" xfId="1074" xr:uid="{00000000-0005-0000-0000-0000BE030000}"/>
    <cellStyle name="HeaderGrant 2 3 8 3" xfId="1075" xr:uid="{00000000-0005-0000-0000-0000BF030000}"/>
    <cellStyle name="HeaderGrant 2 3 8 4" xfId="1076" xr:uid="{00000000-0005-0000-0000-0000C0030000}"/>
    <cellStyle name="HeaderGrant 2 3 8 5" xfId="1077" xr:uid="{00000000-0005-0000-0000-0000C1030000}"/>
    <cellStyle name="HeaderGrant 2 3 9" xfId="1078" xr:uid="{00000000-0005-0000-0000-0000C2030000}"/>
    <cellStyle name="HeaderGrant 2 3 9 2" xfId="1079" xr:uid="{00000000-0005-0000-0000-0000C3030000}"/>
    <cellStyle name="HeaderGrant 2 3 9 3" xfId="1080" xr:uid="{00000000-0005-0000-0000-0000C4030000}"/>
    <cellStyle name="HeaderGrant 2 3 9 4" xfId="1081" xr:uid="{00000000-0005-0000-0000-0000C5030000}"/>
    <cellStyle name="HeaderGrant 2 3 9 5" xfId="1082" xr:uid="{00000000-0005-0000-0000-0000C6030000}"/>
    <cellStyle name="HeaderGrant 2 4" xfId="1083" xr:uid="{00000000-0005-0000-0000-0000C7030000}"/>
    <cellStyle name="HeaderGrant 2 4 10" xfId="1084" xr:uid="{00000000-0005-0000-0000-0000C8030000}"/>
    <cellStyle name="HeaderGrant 2 4 10 2" xfId="1085" xr:uid="{00000000-0005-0000-0000-0000C9030000}"/>
    <cellStyle name="HeaderGrant 2 4 10 3" xfId="1086" xr:uid="{00000000-0005-0000-0000-0000CA030000}"/>
    <cellStyle name="HeaderGrant 2 4 10 4" xfId="1087" xr:uid="{00000000-0005-0000-0000-0000CB030000}"/>
    <cellStyle name="HeaderGrant 2 4 10 5" xfId="1088" xr:uid="{00000000-0005-0000-0000-0000CC030000}"/>
    <cellStyle name="HeaderGrant 2 4 11" xfId="1089" xr:uid="{00000000-0005-0000-0000-0000CD030000}"/>
    <cellStyle name="HeaderGrant 2 4 11 2" xfId="1090" xr:uid="{00000000-0005-0000-0000-0000CE030000}"/>
    <cellStyle name="HeaderGrant 2 4 11 3" xfId="1091" xr:uid="{00000000-0005-0000-0000-0000CF030000}"/>
    <cellStyle name="HeaderGrant 2 4 11 4" xfId="1092" xr:uid="{00000000-0005-0000-0000-0000D0030000}"/>
    <cellStyle name="HeaderGrant 2 4 11 5" xfId="1093" xr:uid="{00000000-0005-0000-0000-0000D1030000}"/>
    <cellStyle name="HeaderGrant 2 4 12" xfId="1094" xr:uid="{00000000-0005-0000-0000-0000D2030000}"/>
    <cellStyle name="HeaderGrant 2 4 12 2" xfId="1095" xr:uid="{00000000-0005-0000-0000-0000D3030000}"/>
    <cellStyle name="HeaderGrant 2 4 12 3" xfId="1096" xr:uid="{00000000-0005-0000-0000-0000D4030000}"/>
    <cellStyle name="HeaderGrant 2 4 12 4" xfId="1097" xr:uid="{00000000-0005-0000-0000-0000D5030000}"/>
    <cellStyle name="HeaderGrant 2 4 12 5" xfId="1098" xr:uid="{00000000-0005-0000-0000-0000D6030000}"/>
    <cellStyle name="HeaderGrant 2 4 13" xfId="1099" xr:uid="{00000000-0005-0000-0000-0000D7030000}"/>
    <cellStyle name="HeaderGrant 2 4 13 2" xfId="1100" xr:uid="{00000000-0005-0000-0000-0000D8030000}"/>
    <cellStyle name="HeaderGrant 2 4 13 3" xfId="1101" xr:uid="{00000000-0005-0000-0000-0000D9030000}"/>
    <cellStyle name="HeaderGrant 2 4 13 4" xfId="1102" xr:uid="{00000000-0005-0000-0000-0000DA030000}"/>
    <cellStyle name="HeaderGrant 2 4 13 5" xfId="1103" xr:uid="{00000000-0005-0000-0000-0000DB030000}"/>
    <cellStyle name="HeaderGrant 2 4 14" xfId="1104" xr:uid="{00000000-0005-0000-0000-0000DC030000}"/>
    <cellStyle name="HeaderGrant 2 4 14 2" xfId="1105" xr:uid="{00000000-0005-0000-0000-0000DD030000}"/>
    <cellStyle name="HeaderGrant 2 4 14 3" xfId="1106" xr:uid="{00000000-0005-0000-0000-0000DE030000}"/>
    <cellStyle name="HeaderGrant 2 4 14 4" xfId="1107" xr:uid="{00000000-0005-0000-0000-0000DF030000}"/>
    <cellStyle name="HeaderGrant 2 4 14 5" xfId="1108" xr:uid="{00000000-0005-0000-0000-0000E0030000}"/>
    <cellStyle name="HeaderGrant 2 4 15" xfId="1109" xr:uid="{00000000-0005-0000-0000-0000E1030000}"/>
    <cellStyle name="HeaderGrant 2 4 15 2" xfId="1110" xr:uid="{00000000-0005-0000-0000-0000E2030000}"/>
    <cellStyle name="HeaderGrant 2 4 15 3" xfId="1111" xr:uid="{00000000-0005-0000-0000-0000E3030000}"/>
    <cellStyle name="HeaderGrant 2 4 15 4" xfId="1112" xr:uid="{00000000-0005-0000-0000-0000E4030000}"/>
    <cellStyle name="HeaderGrant 2 4 15 5" xfId="1113" xr:uid="{00000000-0005-0000-0000-0000E5030000}"/>
    <cellStyle name="HeaderGrant 2 4 16" xfId="1114" xr:uid="{00000000-0005-0000-0000-0000E6030000}"/>
    <cellStyle name="HeaderGrant 2 4 16 2" xfId="1115" xr:uid="{00000000-0005-0000-0000-0000E7030000}"/>
    <cellStyle name="HeaderGrant 2 4 16 3" xfId="1116" xr:uid="{00000000-0005-0000-0000-0000E8030000}"/>
    <cellStyle name="HeaderGrant 2 4 16 4" xfId="1117" xr:uid="{00000000-0005-0000-0000-0000E9030000}"/>
    <cellStyle name="HeaderGrant 2 4 16 5" xfId="1118" xr:uid="{00000000-0005-0000-0000-0000EA030000}"/>
    <cellStyle name="HeaderGrant 2 4 17" xfId="1119" xr:uid="{00000000-0005-0000-0000-0000EB030000}"/>
    <cellStyle name="HeaderGrant 2 4 17 2" xfId="1120" xr:uid="{00000000-0005-0000-0000-0000EC030000}"/>
    <cellStyle name="HeaderGrant 2 4 17 3" xfId="1121" xr:uid="{00000000-0005-0000-0000-0000ED030000}"/>
    <cellStyle name="HeaderGrant 2 4 17 4" xfId="1122" xr:uid="{00000000-0005-0000-0000-0000EE030000}"/>
    <cellStyle name="HeaderGrant 2 4 17 5" xfId="1123" xr:uid="{00000000-0005-0000-0000-0000EF030000}"/>
    <cellStyle name="HeaderGrant 2 4 18" xfId="1124" xr:uid="{00000000-0005-0000-0000-0000F0030000}"/>
    <cellStyle name="HeaderGrant 2 4 18 2" xfId="1125" xr:uid="{00000000-0005-0000-0000-0000F1030000}"/>
    <cellStyle name="HeaderGrant 2 4 18 3" xfId="1126" xr:uid="{00000000-0005-0000-0000-0000F2030000}"/>
    <cellStyle name="HeaderGrant 2 4 18 4" xfId="1127" xr:uid="{00000000-0005-0000-0000-0000F3030000}"/>
    <cellStyle name="HeaderGrant 2 4 18 5" xfId="1128" xr:uid="{00000000-0005-0000-0000-0000F4030000}"/>
    <cellStyle name="HeaderGrant 2 4 19" xfId="1129" xr:uid="{00000000-0005-0000-0000-0000F5030000}"/>
    <cellStyle name="HeaderGrant 2 4 19 2" xfId="1130" xr:uid="{00000000-0005-0000-0000-0000F6030000}"/>
    <cellStyle name="HeaderGrant 2 4 19 3" xfId="1131" xr:uid="{00000000-0005-0000-0000-0000F7030000}"/>
    <cellStyle name="HeaderGrant 2 4 19 4" xfId="1132" xr:uid="{00000000-0005-0000-0000-0000F8030000}"/>
    <cellStyle name="HeaderGrant 2 4 19 5" xfId="1133" xr:uid="{00000000-0005-0000-0000-0000F9030000}"/>
    <cellStyle name="HeaderGrant 2 4 2" xfId="1134" xr:uid="{00000000-0005-0000-0000-0000FA030000}"/>
    <cellStyle name="HeaderGrant 2 4 2 2" xfId="1135" xr:uid="{00000000-0005-0000-0000-0000FB030000}"/>
    <cellStyle name="HeaderGrant 2 4 2 3" xfId="1136" xr:uid="{00000000-0005-0000-0000-0000FC030000}"/>
    <cellStyle name="HeaderGrant 2 4 2 4" xfId="1137" xr:uid="{00000000-0005-0000-0000-0000FD030000}"/>
    <cellStyle name="HeaderGrant 2 4 2 5" xfId="1138" xr:uid="{00000000-0005-0000-0000-0000FE030000}"/>
    <cellStyle name="HeaderGrant 2 4 20" xfId="1139" xr:uid="{00000000-0005-0000-0000-0000FF030000}"/>
    <cellStyle name="HeaderGrant 2 4 20 2" xfId="1140" xr:uid="{00000000-0005-0000-0000-000000040000}"/>
    <cellStyle name="HeaderGrant 2 4 20 3" xfId="1141" xr:uid="{00000000-0005-0000-0000-000001040000}"/>
    <cellStyle name="HeaderGrant 2 4 20 4" xfId="1142" xr:uid="{00000000-0005-0000-0000-000002040000}"/>
    <cellStyle name="HeaderGrant 2 4 20 5" xfId="1143" xr:uid="{00000000-0005-0000-0000-000003040000}"/>
    <cellStyle name="HeaderGrant 2 4 21" xfId="1144" xr:uid="{00000000-0005-0000-0000-000004040000}"/>
    <cellStyle name="HeaderGrant 2 4 21 2" xfId="1145" xr:uid="{00000000-0005-0000-0000-000005040000}"/>
    <cellStyle name="HeaderGrant 2 4 21 3" xfId="1146" xr:uid="{00000000-0005-0000-0000-000006040000}"/>
    <cellStyle name="HeaderGrant 2 4 21 4" xfId="1147" xr:uid="{00000000-0005-0000-0000-000007040000}"/>
    <cellStyle name="HeaderGrant 2 4 21 5" xfId="1148" xr:uid="{00000000-0005-0000-0000-000008040000}"/>
    <cellStyle name="HeaderGrant 2 4 22" xfId="1149" xr:uid="{00000000-0005-0000-0000-000009040000}"/>
    <cellStyle name="HeaderGrant 2 4 22 2" xfId="1150" xr:uid="{00000000-0005-0000-0000-00000A040000}"/>
    <cellStyle name="HeaderGrant 2 4 22 3" xfId="1151" xr:uid="{00000000-0005-0000-0000-00000B040000}"/>
    <cellStyle name="HeaderGrant 2 4 22 4" xfId="1152" xr:uid="{00000000-0005-0000-0000-00000C040000}"/>
    <cellStyle name="HeaderGrant 2 4 23" xfId="1153" xr:uid="{00000000-0005-0000-0000-00000D040000}"/>
    <cellStyle name="HeaderGrant 2 4 23 2" xfId="1154" xr:uid="{00000000-0005-0000-0000-00000E040000}"/>
    <cellStyle name="HeaderGrant 2 4 23 3" xfId="1155" xr:uid="{00000000-0005-0000-0000-00000F040000}"/>
    <cellStyle name="HeaderGrant 2 4 23 4" xfId="1156" xr:uid="{00000000-0005-0000-0000-000010040000}"/>
    <cellStyle name="HeaderGrant 2 4 24" xfId="1157" xr:uid="{00000000-0005-0000-0000-000011040000}"/>
    <cellStyle name="HeaderGrant 2 4 24 2" xfId="1158" xr:uid="{00000000-0005-0000-0000-000012040000}"/>
    <cellStyle name="HeaderGrant 2 4 24 3" xfId="1159" xr:uid="{00000000-0005-0000-0000-000013040000}"/>
    <cellStyle name="HeaderGrant 2 4 24 4" xfId="1160" xr:uid="{00000000-0005-0000-0000-000014040000}"/>
    <cellStyle name="HeaderGrant 2 4 25" xfId="1161" xr:uid="{00000000-0005-0000-0000-000015040000}"/>
    <cellStyle name="HeaderGrant 2 4 25 2" xfId="1162" xr:uid="{00000000-0005-0000-0000-000016040000}"/>
    <cellStyle name="HeaderGrant 2 4 25 3" xfId="1163" xr:uid="{00000000-0005-0000-0000-000017040000}"/>
    <cellStyle name="HeaderGrant 2 4 25 4" xfId="1164" xr:uid="{00000000-0005-0000-0000-000018040000}"/>
    <cellStyle name="HeaderGrant 2 4 3" xfId="1165" xr:uid="{00000000-0005-0000-0000-000019040000}"/>
    <cellStyle name="HeaderGrant 2 4 3 2" xfId="1166" xr:uid="{00000000-0005-0000-0000-00001A040000}"/>
    <cellStyle name="HeaderGrant 2 4 3 3" xfId="1167" xr:uid="{00000000-0005-0000-0000-00001B040000}"/>
    <cellStyle name="HeaderGrant 2 4 3 4" xfId="1168" xr:uid="{00000000-0005-0000-0000-00001C040000}"/>
    <cellStyle name="HeaderGrant 2 4 3 5" xfId="1169" xr:uid="{00000000-0005-0000-0000-00001D040000}"/>
    <cellStyle name="HeaderGrant 2 4 4" xfId="1170" xr:uid="{00000000-0005-0000-0000-00001E040000}"/>
    <cellStyle name="HeaderGrant 2 4 4 2" xfId="1171" xr:uid="{00000000-0005-0000-0000-00001F040000}"/>
    <cellStyle name="HeaderGrant 2 4 4 3" xfId="1172" xr:uid="{00000000-0005-0000-0000-000020040000}"/>
    <cellStyle name="HeaderGrant 2 4 4 4" xfId="1173" xr:uid="{00000000-0005-0000-0000-000021040000}"/>
    <cellStyle name="HeaderGrant 2 4 4 5" xfId="1174" xr:uid="{00000000-0005-0000-0000-000022040000}"/>
    <cellStyle name="HeaderGrant 2 4 5" xfId="1175" xr:uid="{00000000-0005-0000-0000-000023040000}"/>
    <cellStyle name="HeaderGrant 2 4 5 2" xfId="1176" xr:uid="{00000000-0005-0000-0000-000024040000}"/>
    <cellStyle name="HeaderGrant 2 4 5 3" xfId="1177" xr:uid="{00000000-0005-0000-0000-000025040000}"/>
    <cellStyle name="HeaderGrant 2 4 5 4" xfId="1178" xr:uid="{00000000-0005-0000-0000-000026040000}"/>
    <cellStyle name="HeaderGrant 2 4 5 5" xfId="1179" xr:uid="{00000000-0005-0000-0000-000027040000}"/>
    <cellStyle name="HeaderGrant 2 4 6" xfId="1180" xr:uid="{00000000-0005-0000-0000-000028040000}"/>
    <cellStyle name="HeaderGrant 2 4 6 2" xfId="1181" xr:uid="{00000000-0005-0000-0000-000029040000}"/>
    <cellStyle name="HeaderGrant 2 4 6 3" xfId="1182" xr:uid="{00000000-0005-0000-0000-00002A040000}"/>
    <cellStyle name="HeaderGrant 2 4 6 4" xfId="1183" xr:uid="{00000000-0005-0000-0000-00002B040000}"/>
    <cellStyle name="HeaderGrant 2 4 6 5" xfId="1184" xr:uid="{00000000-0005-0000-0000-00002C040000}"/>
    <cellStyle name="HeaderGrant 2 4 7" xfId="1185" xr:uid="{00000000-0005-0000-0000-00002D040000}"/>
    <cellStyle name="HeaderGrant 2 4 7 2" xfId="1186" xr:uid="{00000000-0005-0000-0000-00002E040000}"/>
    <cellStyle name="HeaderGrant 2 4 7 3" xfId="1187" xr:uid="{00000000-0005-0000-0000-00002F040000}"/>
    <cellStyle name="HeaderGrant 2 4 7 4" xfId="1188" xr:uid="{00000000-0005-0000-0000-000030040000}"/>
    <cellStyle name="HeaderGrant 2 4 7 5" xfId="1189" xr:uid="{00000000-0005-0000-0000-000031040000}"/>
    <cellStyle name="HeaderGrant 2 4 8" xfId="1190" xr:uid="{00000000-0005-0000-0000-000032040000}"/>
    <cellStyle name="HeaderGrant 2 4 8 2" xfId="1191" xr:uid="{00000000-0005-0000-0000-000033040000}"/>
    <cellStyle name="HeaderGrant 2 4 8 3" xfId="1192" xr:uid="{00000000-0005-0000-0000-000034040000}"/>
    <cellStyle name="HeaderGrant 2 4 8 4" xfId="1193" xr:uid="{00000000-0005-0000-0000-000035040000}"/>
    <cellStyle name="HeaderGrant 2 4 8 5" xfId="1194" xr:uid="{00000000-0005-0000-0000-000036040000}"/>
    <cellStyle name="HeaderGrant 2 4 9" xfId="1195" xr:uid="{00000000-0005-0000-0000-000037040000}"/>
    <cellStyle name="HeaderGrant 2 4 9 2" xfId="1196" xr:uid="{00000000-0005-0000-0000-000038040000}"/>
    <cellStyle name="HeaderGrant 2 4 9 3" xfId="1197" xr:uid="{00000000-0005-0000-0000-000039040000}"/>
    <cellStyle name="HeaderGrant 2 4 9 4" xfId="1198" xr:uid="{00000000-0005-0000-0000-00003A040000}"/>
    <cellStyle name="HeaderGrant 2 4 9 5" xfId="1199" xr:uid="{00000000-0005-0000-0000-00003B040000}"/>
    <cellStyle name="HeaderGrant 2 5" xfId="1200" xr:uid="{00000000-0005-0000-0000-00003C040000}"/>
    <cellStyle name="HeaderGrant 2 5 2" xfId="1201" xr:uid="{00000000-0005-0000-0000-00003D040000}"/>
    <cellStyle name="HeaderGrant 2 5 3" xfId="1202" xr:uid="{00000000-0005-0000-0000-00003E040000}"/>
    <cellStyle name="HeaderGrant 2 5 4" xfId="1203" xr:uid="{00000000-0005-0000-0000-00003F040000}"/>
    <cellStyle name="HeaderGrant 2 5 5" xfId="1204" xr:uid="{00000000-0005-0000-0000-000040040000}"/>
    <cellStyle name="HeaderGrant 2 6" xfId="1205" xr:uid="{00000000-0005-0000-0000-000041040000}"/>
    <cellStyle name="HeaderGrant 2 6 2" xfId="1206" xr:uid="{00000000-0005-0000-0000-000042040000}"/>
    <cellStyle name="HeaderGrant 2 6 3" xfId="1207" xr:uid="{00000000-0005-0000-0000-000043040000}"/>
    <cellStyle name="HeaderGrant 2 6 4" xfId="1208" xr:uid="{00000000-0005-0000-0000-000044040000}"/>
    <cellStyle name="HeaderGrant 2 6 5" xfId="1209" xr:uid="{00000000-0005-0000-0000-000045040000}"/>
    <cellStyle name="HeaderGrant 2 7" xfId="1210" xr:uid="{00000000-0005-0000-0000-000046040000}"/>
    <cellStyle name="HeaderGrant 2 7 2" xfId="1211" xr:uid="{00000000-0005-0000-0000-000047040000}"/>
    <cellStyle name="HeaderGrant 2 7 3" xfId="1212" xr:uid="{00000000-0005-0000-0000-000048040000}"/>
    <cellStyle name="HeaderGrant 2 7 4" xfId="1213" xr:uid="{00000000-0005-0000-0000-000049040000}"/>
    <cellStyle name="HeaderGrant 2 7 5" xfId="1214" xr:uid="{00000000-0005-0000-0000-00004A040000}"/>
    <cellStyle name="HeaderGrant 2 8" xfId="1215" xr:uid="{00000000-0005-0000-0000-00004B040000}"/>
    <cellStyle name="HeaderGrant 2 8 2" xfId="1216" xr:uid="{00000000-0005-0000-0000-00004C040000}"/>
    <cellStyle name="HeaderGrant 2 8 3" xfId="1217" xr:uid="{00000000-0005-0000-0000-00004D040000}"/>
    <cellStyle name="HeaderGrant 2 8 4" xfId="1218" xr:uid="{00000000-0005-0000-0000-00004E040000}"/>
    <cellStyle name="HeaderGrant 2 8 5" xfId="1219" xr:uid="{00000000-0005-0000-0000-00004F040000}"/>
    <cellStyle name="HeaderGrant 2 9" xfId="1220" xr:uid="{00000000-0005-0000-0000-000050040000}"/>
    <cellStyle name="HeaderGrant 2 9 2" xfId="1221" xr:uid="{00000000-0005-0000-0000-000051040000}"/>
    <cellStyle name="HeaderGrant 2 9 3" xfId="1222" xr:uid="{00000000-0005-0000-0000-000052040000}"/>
    <cellStyle name="HeaderGrant 2 9 4" xfId="1223" xr:uid="{00000000-0005-0000-0000-000053040000}"/>
    <cellStyle name="HeaderGrant 2 9 5" xfId="1224" xr:uid="{00000000-0005-0000-0000-000054040000}"/>
    <cellStyle name="HeaderGrant 3" xfId="1225" xr:uid="{00000000-0005-0000-0000-000055040000}"/>
    <cellStyle name="HeaderGrant 3 10" xfId="1226" xr:uid="{00000000-0005-0000-0000-000056040000}"/>
    <cellStyle name="HeaderGrant 3 10 2" xfId="1227" xr:uid="{00000000-0005-0000-0000-000057040000}"/>
    <cellStyle name="HeaderGrant 3 10 3" xfId="1228" xr:uid="{00000000-0005-0000-0000-000058040000}"/>
    <cellStyle name="HeaderGrant 3 10 4" xfId="1229" xr:uid="{00000000-0005-0000-0000-000059040000}"/>
    <cellStyle name="HeaderGrant 3 10 5" xfId="1230" xr:uid="{00000000-0005-0000-0000-00005A040000}"/>
    <cellStyle name="HeaderGrant 3 11" xfId="1231" xr:uid="{00000000-0005-0000-0000-00005B040000}"/>
    <cellStyle name="HeaderGrant 3 11 2" xfId="1232" xr:uid="{00000000-0005-0000-0000-00005C040000}"/>
    <cellStyle name="HeaderGrant 3 11 3" xfId="1233" xr:uid="{00000000-0005-0000-0000-00005D040000}"/>
    <cellStyle name="HeaderGrant 3 11 4" xfId="1234" xr:uid="{00000000-0005-0000-0000-00005E040000}"/>
    <cellStyle name="HeaderGrant 3 12" xfId="1235" xr:uid="{00000000-0005-0000-0000-00005F040000}"/>
    <cellStyle name="HeaderGrant 3 12 2" xfId="1236" xr:uid="{00000000-0005-0000-0000-000060040000}"/>
    <cellStyle name="HeaderGrant 3 12 3" xfId="1237" xr:uid="{00000000-0005-0000-0000-000061040000}"/>
    <cellStyle name="HeaderGrant 3 12 4" xfId="1238" xr:uid="{00000000-0005-0000-0000-000062040000}"/>
    <cellStyle name="HeaderGrant 3 13" xfId="1239" xr:uid="{00000000-0005-0000-0000-000063040000}"/>
    <cellStyle name="HeaderGrant 3 13 2" xfId="1240" xr:uid="{00000000-0005-0000-0000-000064040000}"/>
    <cellStyle name="HeaderGrant 3 13 3" xfId="1241" xr:uid="{00000000-0005-0000-0000-000065040000}"/>
    <cellStyle name="HeaderGrant 3 13 4" xfId="1242" xr:uid="{00000000-0005-0000-0000-000066040000}"/>
    <cellStyle name="HeaderGrant 3 14" xfId="1243" xr:uid="{00000000-0005-0000-0000-000067040000}"/>
    <cellStyle name="HeaderGrant 3 2" xfId="1244" xr:uid="{00000000-0005-0000-0000-000068040000}"/>
    <cellStyle name="HeaderGrant 3 2 2" xfId="1245" xr:uid="{00000000-0005-0000-0000-000069040000}"/>
    <cellStyle name="HeaderGrant 3 2 3" xfId="1246" xr:uid="{00000000-0005-0000-0000-00006A040000}"/>
    <cellStyle name="HeaderGrant 3 2 4" xfId="1247" xr:uid="{00000000-0005-0000-0000-00006B040000}"/>
    <cellStyle name="HeaderGrant 3 2 5" xfId="1248" xr:uid="{00000000-0005-0000-0000-00006C040000}"/>
    <cellStyle name="HeaderGrant 3 3" xfId="1249" xr:uid="{00000000-0005-0000-0000-00006D040000}"/>
    <cellStyle name="HeaderGrant 3 3 2" xfId="1250" xr:uid="{00000000-0005-0000-0000-00006E040000}"/>
    <cellStyle name="HeaderGrant 3 3 3" xfId="1251" xr:uid="{00000000-0005-0000-0000-00006F040000}"/>
    <cellStyle name="HeaderGrant 3 3 4" xfId="1252" xr:uid="{00000000-0005-0000-0000-000070040000}"/>
    <cellStyle name="HeaderGrant 3 3 5" xfId="1253" xr:uid="{00000000-0005-0000-0000-000071040000}"/>
    <cellStyle name="HeaderGrant 3 4" xfId="1254" xr:uid="{00000000-0005-0000-0000-000072040000}"/>
    <cellStyle name="HeaderGrant 3 4 2" xfId="1255" xr:uid="{00000000-0005-0000-0000-000073040000}"/>
    <cellStyle name="HeaderGrant 3 4 3" xfId="1256" xr:uid="{00000000-0005-0000-0000-000074040000}"/>
    <cellStyle name="HeaderGrant 3 4 4" xfId="1257" xr:uid="{00000000-0005-0000-0000-000075040000}"/>
    <cellStyle name="HeaderGrant 3 4 5" xfId="1258" xr:uid="{00000000-0005-0000-0000-000076040000}"/>
    <cellStyle name="HeaderGrant 3 5" xfId="1259" xr:uid="{00000000-0005-0000-0000-000077040000}"/>
    <cellStyle name="HeaderGrant 3 5 2" xfId="1260" xr:uid="{00000000-0005-0000-0000-000078040000}"/>
    <cellStyle name="HeaderGrant 3 5 3" xfId="1261" xr:uid="{00000000-0005-0000-0000-000079040000}"/>
    <cellStyle name="HeaderGrant 3 5 4" xfId="1262" xr:uid="{00000000-0005-0000-0000-00007A040000}"/>
    <cellStyle name="HeaderGrant 3 5 5" xfId="1263" xr:uid="{00000000-0005-0000-0000-00007B040000}"/>
    <cellStyle name="HeaderGrant 3 6" xfId="1264" xr:uid="{00000000-0005-0000-0000-00007C040000}"/>
    <cellStyle name="HeaderGrant 3 6 2" xfId="1265" xr:uid="{00000000-0005-0000-0000-00007D040000}"/>
    <cellStyle name="HeaderGrant 3 6 3" xfId="1266" xr:uid="{00000000-0005-0000-0000-00007E040000}"/>
    <cellStyle name="HeaderGrant 3 6 4" xfId="1267" xr:uid="{00000000-0005-0000-0000-00007F040000}"/>
    <cellStyle name="HeaderGrant 3 6 5" xfId="1268" xr:uid="{00000000-0005-0000-0000-000080040000}"/>
    <cellStyle name="HeaderGrant 3 7" xfId="1269" xr:uid="{00000000-0005-0000-0000-000081040000}"/>
    <cellStyle name="HeaderGrant 3 7 2" xfId="1270" xr:uid="{00000000-0005-0000-0000-000082040000}"/>
    <cellStyle name="HeaderGrant 3 7 3" xfId="1271" xr:uid="{00000000-0005-0000-0000-000083040000}"/>
    <cellStyle name="HeaderGrant 3 7 4" xfId="1272" xr:uid="{00000000-0005-0000-0000-000084040000}"/>
    <cellStyle name="HeaderGrant 3 7 5" xfId="1273" xr:uid="{00000000-0005-0000-0000-000085040000}"/>
    <cellStyle name="HeaderGrant 3 8" xfId="1274" xr:uid="{00000000-0005-0000-0000-000086040000}"/>
    <cellStyle name="HeaderGrant 3 8 2" xfId="1275" xr:uid="{00000000-0005-0000-0000-000087040000}"/>
    <cellStyle name="HeaderGrant 3 8 3" xfId="1276" xr:uid="{00000000-0005-0000-0000-000088040000}"/>
    <cellStyle name="HeaderGrant 3 8 4" xfId="1277" xr:uid="{00000000-0005-0000-0000-000089040000}"/>
    <cellStyle name="HeaderGrant 3 8 5" xfId="1278" xr:uid="{00000000-0005-0000-0000-00008A040000}"/>
    <cellStyle name="HeaderGrant 3 9" xfId="1279" xr:uid="{00000000-0005-0000-0000-00008B040000}"/>
    <cellStyle name="HeaderGrant 3 9 2" xfId="1280" xr:uid="{00000000-0005-0000-0000-00008C040000}"/>
    <cellStyle name="HeaderGrant 3 9 3" xfId="1281" xr:uid="{00000000-0005-0000-0000-00008D040000}"/>
    <cellStyle name="HeaderGrant 3 9 4" xfId="1282" xr:uid="{00000000-0005-0000-0000-00008E040000}"/>
    <cellStyle name="HeaderGrant 3 9 5" xfId="1283" xr:uid="{00000000-0005-0000-0000-00008F040000}"/>
    <cellStyle name="HeaderGrant 4" xfId="1284" xr:uid="{00000000-0005-0000-0000-000090040000}"/>
    <cellStyle name="HeaderGrant 4 10" xfId="1285" xr:uid="{00000000-0005-0000-0000-000091040000}"/>
    <cellStyle name="HeaderGrant 4 10 2" xfId="1286" xr:uid="{00000000-0005-0000-0000-000092040000}"/>
    <cellStyle name="HeaderGrant 4 10 3" xfId="1287" xr:uid="{00000000-0005-0000-0000-000093040000}"/>
    <cellStyle name="HeaderGrant 4 10 4" xfId="1288" xr:uid="{00000000-0005-0000-0000-000094040000}"/>
    <cellStyle name="HeaderGrant 4 10 5" xfId="1289" xr:uid="{00000000-0005-0000-0000-000095040000}"/>
    <cellStyle name="HeaderGrant 4 11" xfId="1290" xr:uid="{00000000-0005-0000-0000-000096040000}"/>
    <cellStyle name="HeaderGrant 4 11 2" xfId="1291" xr:uid="{00000000-0005-0000-0000-000097040000}"/>
    <cellStyle name="HeaderGrant 4 11 3" xfId="1292" xr:uid="{00000000-0005-0000-0000-000098040000}"/>
    <cellStyle name="HeaderGrant 4 11 4" xfId="1293" xr:uid="{00000000-0005-0000-0000-000099040000}"/>
    <cellStyle name="HeaderGrant 4 12" xfId="1294" xr:uid="{00000000-0005-0000-0000-00009A040000}"/>
    <cellStyle name="HeaderGrant 4 12 2" xfId="1295" xr:uid="{00000000-0005-0000-0000-00009B040000}"/>
    <cellStyle name="HeaderGrant 4 12 3" xfId="1296" xr:uid="{00000000-0005-0000-0000-00009C040000}"/>
    <cellStyle name="HeaderGrant 4 12 4" xfId="1297" xr:uid="{00000000-0005-0000-0000-00009D040000}"/>
    <cellStyle name="HeaderGrant 4 13" xfId="1298" xr:uid="{00000000-0005-0000-0000-00009E040000}"/>
    <cellStyle name="HeaderGrant 4 13 2" xfId="1299" xr:uid="{00000000-0005-0000-0000-00009F040000}"/>
    <cellStyle name="HeaderGrant 4 13 3" xfId="1300" xr:uid="{00000000-0005-0000-0000-0000A0040000}"/>
    <cellStyle name="HeaderGrant 4 13 4" xfId="1301" xr:uid="{00000000-0005-0000-0000-0000A1040000}"/>
    <cellStyle name="HeaderGrant 4 14" xfId="1302" xr:uid="{00000000-0005-0000-0000-0000A2040000}"/>
    <cellStyle name="HeaderGrant 4 2" xfId="1303" xr:uid="{00000000-0005-0000-0000-0000A3040000}"/>
    <cellStyle name="HeaderGrant 4 2 2" xfId="1304" xr:uid="{00000000-0005-0000-0000-0000A4040000}"/>
    <cellStyle name="HeaderGrant 4 2 3" xfId="1305" xr:uid="{00000000-0005-0000-0000-0000A5040000}"/>
    <cellStyle name="HeaderGrant 4 2 4" xfId="1306" xr:uid="{00000000-0005-0000-0000-0000A6040000}"/>
    <cellStyle name="HeaderGrant 4 2 5" xfId="1307" xr:uid="{00000000-0005-0000-0000-0000A7040000}"/>
    <cellStyle name="HeaderGrant 4 3" xfId="1308" xr:uid="{00000000-0005-0000-0000-0000A8040000}"/>
    <cellStyle name="HeaderGrant 4 3 2" xfId="1309" xr:uid="{00000000-0005-0000-0000-0000A9040000}"/>
    <cellStyle name="HeaderGrant 4 3 3" xfId="1310" xr:uid="{00000000-0005-0000-0000-0000AA040000}"/>
    <cellStyle name="HeaderGrant 4 3 4" xfId="1311" xr:uid="{00000000-0005-0000-0000-0000AB040000}"/>
    <cellStyle name="HeaderGrant 4 3 5" xfId="1312" xr:uid="{00000000-0005-0000-0000-0000AC040000}"/>
    <cellStyle name="HeaderGrant 4 4" xfId="1313" xr:uid="{00000000-0005-0000-0000-0000AD040000}"/>
    <cellStyle name="HeaderGrant 4 4 2" xfId="1314" xr:uid="{00000000-0005-0000-0000-0000AE040000}"/>
    <cellStyle name="HeaderGrant 4 4 3" xfId="1315" xr:uid="{00000000-0005-0000-0000-0000AF040000}"/>
    <cellStyle name="HeaderGrant 4 4 4" xfId="1316" xr:uid="{00000000-0005-0000-0000-0000B0040000}"/>
    <cellStyle name="HeaderGrant 4 4 5" xfId="1317" xr:uid="{00000000-0005-0000-0000-0000B1040000}"/>
    <cellStyle name="HeaderGrant 4 5" xfId="1318" xr:uid="{00000000-0005-0000-0000-0000B2040000}"/>
    <cellStyle name="HeaderGrant 4 5 2" xfId="1319" xr:uid="{00000000-0005-0000-0000-0000B3040000}"/>
    <cellStyle name="HeaderGrant 4 5 3" xfId="1320" xr:uid="{00000000-0005-0000-0000-0000B4040000}"/>
    <cellStyle name="HeaderGrant 4 5 4" xfId="1321" xr:uid="{00000000-0005-0000-0000-0000B5040000}"/>
    <cellStyle name="HeaderGrant 4 5 5" xfId="1322" xr:uid="{00000000-0005-0000-0000-0000B6040000}"/>
    <cellStyle name="HeaderGrant 4 6" xfId="1323" xr:uid="{00000000-0005-0000-0000-0000B7040000}"/>
    <cellStyle name="HeaderGrant 4 6 2" xfId="1324" xr:uid="{00000000-0005-0000-0000-0000B8040000}"/>
    <cellStyle name="HeaderGrant 4 6 3" xfId="1325" xr:uid="{00000000-0005-0000-0000-0000B9040000}"/>
    <cellStyle name="HeaderGrant 4 6 4" xfId="1326" xr:uid="{00000000-0005-0000-0000-0000BA040000}"/>
    <cellStyle name="HeaderGrant 4 6 5" xfId="1327" xr:uid="{00000000-0005-0000-0000-0000BB040000}"/>
    <cellStyle name="HeaderGrant 4 7" xfId="1328" xr:uid="{00000000-0005-0000-0000-0000BC040000}"/>
    <cellStyle name="HeaderGrant 4 7 2" xfId="1329" xr:uid="{00000000-0005-0000-0000-0000BD040000}"/>
    <cellStyle name="HeaderGrant 4 7 3" xfId="1330" xr:uid="{00000000-0005-0000-0000-0000BE040000}"/>
    <cellStyle name="HeaderGrant 4 7 4" xfId="1331" xr:uid="{00000000-0005-0000-0000-0000BF040000}"/>
    <cellStyle name="HeaderGrant 4 7 5" xfId="1332" xr:uid="{00000000-0005-0000-0000-0000C0040000}"/>
    <cellStyle name="HeaderGrant 4 8" xfId="1333" xr:uid="{00000000-0005-0000-0000-0000C1040000}"/>
    <cellStyle name="HeaderGrant 4 8 2" xfId="1334" xr:uid="{00000000-0005-0000-0000-0000C2040000}"/>
    <cellStyle name="HeaderGrant 4 8 3" xfId="1335" xr:uid="{00000000-0005-0000-0000-0000C3040000}"/>
    <cellStyle name="HeaderGrant 4 8 4" xfId="1336" xr:uid="{00000000-0005-0000-0000-0000C4040000}"/>
    <cellStyle name="HeaderGrant 4 8 5" xfId="1337" xr:uid="{00000000-0005-0000-0000-0000C5040000}"/>
    <cellStyle name="HeaderGrant 4 9" xfId="1338" xr:uid="{00000000-0005-0000-0000-0000C6040000}"/>
    <cellStyle name="HeaderGrant 4 9 2" xfId="1339" xr:uid="{00000000-0005-0000-0000-0000C7040000}"/>
    <cellStyle name="HeaderGrant 4 9 3" xfId="1340" xr:uid="{00000000-0005-0000-0000-0000C8040000}"/>
    <cellStyle name="HeaderGrant 4 9 4" xfId="1341" xr:uid="{00000000-0005-0000-0000-0000C9040000}"/>
    <cellStyle name="HeaderGrant 4 9 5" xfId="1342" xr:uid="{00000000-0005-0000-0000-0000CA040000}"/>
    <cellStyle name="HeaderGrant 5" xfId="1343" xr:uid="{00000000-0005-0000-0000-0000CB040000}"/>
    <cellStyle name="HeaderGrant 5 10" xfId="1344" xr:uid="{00000000-0005-0000-0000-0000CC040000}"/>
    <cellStyle name="HeaderGrant 5 10 2" xfId="1345" xr:uid="{00000000-0005-0000-0000-0000CD040000}"/>
    <cellStyle name="HeaderGrant 5 10 3" xfId="1346" xr:uid="{00000000-0005-0000-0000-0000CE040000}"/>
    <cellStyle name="HeaderGrant 5 10 4" xfId="1347" xr:uid="{00000000-0005-0000-0000-0000CF040000}"/>
    <cellStyle name="HeaderGrant 5 10 5" xfId="1348" xr:uid="{00000000-0005-0000-0000-0000D0040000}"/>
    <cellStyle name="HeaderGrant 5 11" xfId="1349" xr:uid="{00000000-0005-0000-0000-0000D1040000}"/>
    <cellStyle name="HeaderGrant 5 11 2" xfId="1350" xr:uid="{00000000-0005-0000-0000-0000D2040000}"/>
    <cellStyle name="HeaderGrant 5 11 3" xfId="1351" xr:uid="{00000000-0005-0000-0000-0000D3040000}"/>
    <cellStyle name="HeaderGrant 5 11 4" xfId="1352" xr:uid="{00000000-0005-0000-0000-0000D4040000}"/>
    <cellStyle name="HeaderGrant 5 11 5" xfId="1353" xr:uid="{00000000-0005-0000-0000-0000D5040000}"/>
    <cellStyle name="HeaderGrant 5 12" xfId="1354" xr:uid="{00000000-0005-0000-0000-0000D6040000}"/>
    <cellStyle name="HeaderGrant 5 12 2" xfId="1355" xr:uid="{00000000-0005-0000-0000-0000D7040000}"/>
    <cellStyle name="HeaderGrant 5 12 3" xfId="1356" xr:uid="{00000000-0005-0000-0000-0000D8040000}"/>
    <cellStyle name="HeaderGrant 5 12 4" xfId="1357" xr:uid="{00000000-0005-0000-0000-0000D9040000}"/>
    <cellStyle name="HeaderGrant 5 12 5" xfId="1358" xr:uid="{00000000-0005-0000-0000-0000DA040000}"/>
    <cellStyle name="HeaderGrant 5 13" xfId="1359" xr:uid="{00000000-0005-0000-0000-0000DB040000}"/>
    <cellStyle name="HeaderGrant 5 13 2" xfId="1360" xr:uid="{00000000-0005-0000-0000-0000DC040000}"/>
    <cellStyle name="HeaderGrant 5 13 3" xfId="1361" xr:uid="{00000000-0005-0000-0000-0000DD040000}"/>
    <cellStyle name="HeaderGrant 5 13 4" xfId="1362" xr:uid="{00000000-0005-0000-0000-0000DE040000}"/>
    <cellStyle name="HeaderGrant 5 13 5" xfId="1363" xr:uid="{00000000-0005-0000-0000-0000DF040000}"/>
    <cellStyle name="HeaderGrant 5 14" xfId="1364" xr:uid="{00000000-0005-0000-0000-0000E0040000}"/>
    <cellStyle name="HeaderGrant 5 14 2" xfId="1365" xr:uid="{00000000-0005-0000-0000-0000E1040000}"/>
    <cellStyle name="HeaderGrant 5 14 3" xfId="1366" xr:uid="{00000000-0005-0000-0000-0000E2040000}"/>
    <cellStyle name="HeaderGrant 5 14 4" xfId="1367" xr:uid="{00000000-0005-0000-0000-0000E3040000}"/>
    <cellStyle name="HeaderGrant 5 14 5" xfId="1368" xr:uid="{00000000-0005-0000-0000-0000E4040000}"/>
    <cellStyle name="HeaderGrant 5 15" xfId="1369" xr:uid="{00000000-0005-0000-0000-0000E5040000}"/>
    <cellStyle name="HeaderGrant 5 15 2" xfId="1370" xr:uid="{00000000-0005-0000-0000-0000E6040000}"/>
    <cellStyle name="HeaderGrant 5 15 3" xfId="1371" xr:uid="{00000000-0005-0000-0000-0000E7040000}"/>
    <cellStyle name="HeaderGrant 5 15 4" xfId="1372" xr:uid="{00000000-0005-0000-0000-0000E8040000}"/>
    <cellStyle name="HeaderGrant 5 15 5" xfId="1373" xr:uid="{00000000-0005-0000-0000-0000E9040000}"/>
    <cellStyle name="HeaderGrant 5 16" xfId="1374" xr:uid="{00000000-0005-0000-0000-0000EA040000}"/>
    <cellStyle name="HeaderGrant 5 16 2" xfId="1375" xr:uid="{00000000-0005-0000-0000-0000EB040000}"/>
    <cellStyle name="HeaderGrant 5 16 3" xfId="1376" xr:uid="{00000000-0005-0000-0000-0000EC040000}"/>
    <cellStyle name="HeaderGrant 5 16 4" xfId="1377" xr:uid="{00000000-0005-0000-0000-0000ED040000}"/>
    <cellStyle name="HeaderGrant 5 16 5" xfId="1378" xr:uid="{00000000-0005-0000-0000-0000EE040000}"/>
    <cellStyle name="HeaderGrant 5 17" xfId="1379" xr:uid="{00000000-0005-0000-0000-0000EF040000}"/>
    <cellStyle name="HeaderGrant 5 17 2" xfId="1380" xr:uid="{00000000-0005-0000-0000-0000F0040000}"/>
    <cellStyle name="HeaderGrant 5 17 3" xfId="1381" xr:uid="{00000000-0005-0000-0000-0000F1040000}"/>
    <cellStyle name="HeaderGrant 5 17 4" xfId="1382" xr:uid="{00000000-0005-0000-0000-0000F2040000}"/>
    <cellStyle name="HeaderGrant 5 17 5" xfId="1383" xr:uid="{00000000-0005-0000-0000-0000F3040000}"/>
    <cellStyle name="HeaderGrant 5 18" xfId="1384" xr:uid="{00000000-0005-0000-0000-0000F4040000}"/>
    <cellStyle name="HeaderGrant 5 18 2" xfId="1385" xr:uid="{00000000-0005-0000-0000-0000F5040000}"/>
    <cellStyle name="HeaderGrant 5 18 3" xfId="1386" xr:uid="{00000000-0005-0000-0000-0000F6040000}"/>
    <cellStyle name="HeaderGrant 5 18 4" xfId="1387" xr:uid="{00000000-0005-0000-0000-0000F7040000}"/>
    <cellStyle name="HeaderGrant 5 18 5" xfId="1388" xr:uid="{00000000-0005-0000-0000-0000F8040000}"/>
    <cellStyle name="HeaderGrant 5 19" xfId="1389" xr:uid="{00000000-0005-0000-0000-0000F9040000}"/>
    <cellStyle name="HeaderGrant 5 19 2" xfId="1390" xr:uid="{00000000-0005-0000-0000-0000FA040000}"/>
    <cellStyle name="HeaderGrant 5 19 3" xfId="1391" xr:uid="{00000000-0005-0000-0000-0000FB040000}"/>
    <cellStyle name="HeaderGrant 5 19 4" xfId="1392" xr:uid="{00000000-0005-0000-0000-0000FC040000}"/>
    <cellStyle name="HeaderGrant 5 19 5" xfId="1393" xr:uid="{00000000-0005-0000-0000-0000FD040000}"/>
    <cellStyle name="HeaderGrant 5 2" xfId="1394" xr:uid="{00000000-0005-0000-0000-0000FE040000}"/>
    <cellStyle name="HeaderGrant 5 2 2" xfId="1395" xr:uid="{00000000-0005-0000-0000-0000FF040000}"/>
    <cellStyle name="HeaderGrant 5 2 3" xfId="1396" xr:uid="{00000000-0005-0000-0000-000000050000}"/>
    <cellStyle name="HeaderGrant 5 2 4" xfId="1397" xr:uid="{00000000-0005-0000-0000-000001050000}"/>
    <cellStyle name="HeaderGrant 5 2 5" xfId="1398" xr:uid="{00000000-0005-0000-0000-000002050000}"/>
    <cellStyle name="HeaderGrant 5 20" xfId="1399" xr:uid="{00000000-0005-0000-0000-000003050000}"/>
    <cellStyle name="HeaderGrant 5 20 2" xfId="1400" xr:uid="{00000000-0005-0000-0000-000004050000}"/>
    <cellStyle name="HeaderGrant 5 20 3" xfId="1401" xr:uid="{00000000-0005-0000-0000-000005050000}"/>
    <cellStyle name="HeaderGrant 5 20 4" xfId="1402" xr:uid="{00000000-0005-0000-0000-000006050000}"/>
    <cellStyle name="HeaderGrant 5 20 5" xfId="1403" xr:uid="{00000000-0005-0000-0000-000007050000}"/>
    <cellStyle name="HeaderGrant 5 21" xfId="1404" xr:uid="{00000000-0005-0000-0000-000008050000}"/>
    <cellStyle name="HeaderGrant 5 21 2" xfId="1405" xr:uid="{00000000-0005-0000-0000-000009050000}"/>
    <cellStyle name="HeaderGrant 5 21 3" xfId="1406" xr:uid="{00000000-0005-0000-0000-00000A050000}"/>
    <cellStyle name="HeaderGrant 5 21 4" xfId="1407" xr:uid="{00000000-0005-0000-0000-00000B050000}"/>
    <cellStyle name="HeaderGrant 5 21 5" xfId="1408" xr:uid="{00000000-0005-0000-0000-00000C050000}"/>
    <cellStyle name="HeaderGrant 5 22" xfId="1409" xr:uid="{00000000-0005-0000-0000-00000D050000}"/>
    <cellStyle name="HeaderGrant 5 22 2" xfId="1410" xr:uid="{00000000-0005-0000-0000-00000E050000}"/>
    <cellStyle name="HeaderGrant 5 22 3" xfId="1411" xr:uid="{00000000-0005-0000-0000-00000F050000}"/>
    <cellStyle name="HeaderGrant 5 22 4" xfId="1412" xr:uid="{00000000-0005-0000-0000-000010050000}"/>
    <cellStyle name="HeaderGrant 5 23" xfId="1413" xr:uid="{00000000-0005-0000-0000-000011050000}"/>
    <cellStyle name="HeaderGrant 5 23 2" xfId="1414" xr:uid="{00000000-0005-0000-0000-000012050000}"/>
    <cellStyle name="HeaderGrant 5 23 3" xfId="1415" xr:uid="{00000000-0005-0000-0000-000013050000}"/>
    <cellStyle name="HeaderGrant 5 23 4" xfId="1416" xr:uid="{00000000-0005-0000-0000-000014050000}"/>
    <cellStyle name="HeaderGrant 5 24" xfId="1417" xr:uid="{00000000-0005-0000-0000-000015050000}"/>
    <cellStyle name="HeaderGrant 5 24 2" xfId="1418" xr:uid="{00000000-0005-0000-0000-000016050000}"/>
    <cellStyle name="HeaderGrant 5 24 3" xfId="1419" xr:uid="{00000000-0005-0000-0000-000017050000}"/>
    <cellStyle name="HeaderGrant 5 24 4" xfId="1420" xr:uid="{00000000-0005-0000-0000-000018050000}"/>
    <cellStyle name="HeaderGrant 5 25" xfId="1421" xr:uid="{00000000-0005-0000-0000-000019050000}"/>
    <cellStyle name="HeaderGrant 5 25 2" xfId="1422" xr:uid="{00000000-0005-0000-0000-00001A050000}"/>
    <cellStyle name="HeaderGrant 5 25 3" xfId="1423" xr:uid="{00000000-0005-0000-0000-00001B050000}"/>
    <cellStyle name="HeaderGrant 5 25 4" xfId="1424" xr:uid="{00000000-0005-0000-0000-00001C050000}"/>
    <cellStyle name="HeaderGrant 5 3" xfId="1425" xr:uid="{00000000-0005-0000-0000-00001D050000}"/>
    <cellStyle name="HeaderGrant 5 3 2" xfId="1426" xr:uid="{00000000-0005-0000-0000-00001E050000}"/>
    <cellStyle name="HeaderGrant 5 3 3" xfId="1427" xr:uid="{00000000-0005-0000-0000-00001F050000}"/>
    <cellStyle name="HeaderGrant 5 3 4" xfId="1428" xr:uid="{00000000-0005-0000-0000-000020050000}"/>
    <cellStyle name="HeaderGrant 5 3 5" xfId="1429" xr:uid="{00000000-0005-0000-0000-000021050000}"/>
    <cellStyle name="HeaderGrant 5 4" xfId="1430" xr:uid="{00000000-0005-0000-0000-000022050000}"/>
    <cellStyle name="HeaderGrant 5 4 2" xfId="1431" xr:uid="{00000000-0005-0000-0000-000023050000}"/>
    <cellStyle name="HeaderGrant 5 4 3" xfId="1432" xr:uid="{00000000-0005-0000-0000-000024050000}"/>
    <cellStyle name="HeaderGrant 5 4 4" xfId="1433" xr:uid="{00000000-0005-0000-0000-000025050000}"/>
    <cellStyle name="HeaderGrant 5 4 5" xfId="1434" xr:uid="{00000000-0005-0000-0000-000026050000}"/>
    <cellStyle name="HeaderGrant 5 5" xfId="1435" xr:uid="{00000000-0005-0000-0000-000027050000}"/>
    <cellStyle name="HeaderGrant 5 5 2" xfId="1436" xr:uid="{00000000-0005-0000-0000-000028050000}"/>
    <cellStyle name="HeaderGrant 5 5 3" xfId="1437" xr:uid="{00000000-0005-0000-0000-000029050000}"/>
    <cellStyle name="HeaderGrant 5 5 4" xfId="1438" xr:uid="{00000000-0005-0000-0000-00002A050000}"/>
    <cellStyle name="HeaderGrant 5 5 5" xfId="1439" xr:uid="{00000000-0005-0000-0000-00002B050000}"/>
    <cellStyle name="HeaderGrant 5 6" xfId="1440" xr:uid="{00000000-0005-0000-0000-00002C050000}"/>
    <cellStyle name="HeaderGrant 5 6 2" xfId="1441" xr:uid="{00000000-0005-0000-0000-00002D050000}"/>
    <cellStyle name="HeaderGrant 5 6 3" xfId="1442" xr:uid="{00000000-0005-0000-0000-00002E050000}"/>
    <cellStyle name="HeaderGrant 5 6 4" xfId="1443" xr:uid="{00000000-0005-0000-0000-00002F050000}"/>
    <cellStyle name="HeaderGrant 5 6 5" xfId="1444" xr:uid="{00000000-0005-0000-0000-000030050000}"/>
    <cellStyle name="HeaderGrant 5 7" xfId="1445" xr:uid="{00000000-0005-0000-0000-000031050000}"/>
    <cellStyle name="HeaderGrant 5 7 2" xfId="1446" xr:uid="{00000000-0005-0000-0000-000032050000}"/>
    <cellStyle name="HeaderGrant 5 7 3" xfId="1447" xr:uid="{00000000-0005-0000-0000-000033050000}"/>
    <cellStyle name="HeaderGrant 5 7 4" xfId="1448" xr:uid="{00000000-0005-0000-0000-000034050000}"/>
    <cellStyle name="HeaderGrant 5 7 5" xfId="1449" xr:uid="{00000000-0005-0000-0000-000035050000}"/>
    <cellStyle name="HeaderGrant 5 8" xfId="1450" xr:uid="{00000000-0005-0000-0000-000036050000}"/>
    <cellStyle name="HeaderGrant 5 8 2" xfId="1451" xr:uid="{00000000-0005-0000-0000-000037050000}"/>
    <cellStyle name="HeaderGrant 5 8 3" xfId="1452" xr:uid="{00000000-0005-0000-0000-000038050000}"/>
    <cellStyle name="HeaderGrant 5 8 4" xfId="1453" xr:uid="{00000000-0005-0000-0000-000039050000}"/>
    <cellStyle name="HeaderGrant 5 8 5" xfId="1454" xr:uid="{00000000-0005-0000-0000-00003A050000}"/>
    <cellStyle name="HeaderGrant 5 9" xfId="1455" xr:uid="{00000000-0005-0000-0000-00003B050000}"/>
    <cellStyle name="HeaderGrant 5 9 2" xfId="1456" xr:uid="{00000000-0005-0000-0000-00003C050000}"/>
    <cellStyle name="HeaderGrant 5 9 3" xfId="1457" xr:uid="{00000000-0005-0000-0000-00003D050000}"/>
    <cellStyle name="HeaderGrant 5 9 4" xfId="1458" xr:uid="{00000000-0005-0000-0000-00003E050000}"/>
    <cellStyle name="HeaderGrant 5 9 5" xfId="1459" xr:uid="{00000000-0005-0000-0000-00003F050000}"/>
    <cellStyle name="HeaderGrant 6" xfId="1460" xr:uid="{00000000-0005-0000-0000-000040050000}"/>
    <cellStyle name="HeaderGrant 6 2" xfId="1461" xr:uid="{00000000-0005-0000-0000-000041050000}"/>
    <cellStyle name="HeaderGrant 6 3" xfId="1462" xr:uid="{00000000-0005-0000-0000-000042050000}"/>
    <cellStyle name="HeaderGrant 6 4" xfId="1463" xr:uid="{00000000-0005-0000-0000-000043050000}"/>
    <cellStyle name="HeaderGrant 6 5" xfId="1464" xr:uid="{00000000-0005-0000-0000-000044050000}"/>
    <cellStyle name="HeaderGrant 7" xfId="1465" xr:uid="{00000000-0005-0000-0000-000045050000}"/>
    <cellStyle name="HeaderGrant 7 2" xfId="1466" xr:uid="{00000000-0005-0000-0000-000046050000}"/>
    <cellStyle name="HeaderGrant 7 3" xfId="1467" xr:uid="{00000000-0005-0000-0000-000047050000}"/>
    <cellStyle name="HeaderGrant 7 4" xfId="1468" xr:uid="{00000000-0005-0000-0000-000048050000}"/>
    <cellStyle name="HeaderGrant 7 5" xfId="1469" xr:uid="{00000000-0005-0000-0000-000049050000}"/>
    <cellStyle name="HeaderGrant 8" xfId="1470" xr:uid="{00000000-0005-0000-0000-00004A050000}"/>
    <cellStyle name="HeaderGrant 8 2" xfId="1471" xr:uid="{00000000-0005-0000-0000-00004B050000}"/>
    <cellStyle name="HeaderGrant 8 3" xfId="1472" xr:uid="{00000000-0005-0000-0000-00004C050000}"/>
    <cellStyle name="HeaderGrant 8 4" xfId="1473" xr:uid="{00000000-0005-0000-0000-00004D050000}"/>
    <cellStyle name="HeaderGrant 8 5" xfId="1474" xr:uid="{00000000-0005-0000-0000-00004E050000}"/>
    <cellStyle name="HeaderGrant 9" xfId="1475" xr:uid="{00000000-0005-0000-0000-00004F050000}"/>
    <cellStyle name="HeaderGrant 9 2" xfId="1476" xr:uid="{00000000-0005-0000-0000-000050050000}"/>
    <cellStyle name="HeaderGrant 9 3" xfId="1477" xr:uid="{00000000-0005-0000-0000-000051050000}"/>
    <cellStyle name="HeaderGrant 9 4" xfId="1478" xr:uid="{00000000-0005-0000-0000-000052050000}"/>
    <cellStyle name="HeaderGrant 9 5" xfId="1479" xr:uid="{00000000-0005-0000-0000-000053050000}"/>
    <cellStyle name="HeaderLEA" xfId="71" xr:uid="{00000000-0005-0000-0000-000054050000}"/>
    <cellStyle name="Heading 1 2" xfId="72" xr:uid="{00000000-0005-0000-0000-000055050000}"/>
    <cellStyle name="Heading 1 2 2" xfId="1480" xr:uid="{00000000-0005-0000-0000-000056050000}"/>
    <cellStyle name="Heading 2 2" xfId="73" xr:uid="{00000000-0005-0000-0000-000057050000}"/>
    <cellStyle name="Heading 2 2 2" xfId="1481" xr:uid="{00000000-0005-0000-0000-000058050000}"/>
    <cellStyle name="Heading 3 2" xfId="74" xr:uid="{00000000-0005-0000-0000-000059050000}"/>
    <cellStyle name="Heading 3 2 2" xfId="1482" xr:uid="{00000000-0005-0000-0000-00005A050000}"/>
    <cellStyle name="Heading 4 2" xfId="75" xr:uid="{00000000-0005-0000-0000-00005B050000}"/>
    <cellStyle name="Heading 4 2 2" xfId="1483" xr:uid="{00000000-0005-0000-0000-00005C050000}"/>
    <cellStyle name="Heading 4 3" xfId="1484" xr:uid="{00000000-0005-0000-0000-00005D050000}"/>
    <cellStyle name="Hyperlink" xfId="3967" builtinId="8"/>
    <cellStyle name="Hyperlink 2" xfId="76" xr:uid="{00000000-0005-0000-0000-00005F050000}"/>
    <cellStyle name="Hyperlink 2 2" xfId="77" xr:uid="{00000000-0005-0000-0000-000060050000}"/>
    <cellStyle name="Hyperlink 2 2 2" xfId="1485" xr:uid="{00000000-0005-0000-0000-000061050000}"/>
    <cellStyle name="Hyperlink 2 3" xfId="1486" xr:uid="{00000000-0005-0000-0000-000062050000}"/>
    <cellStyle name="Hyperlink 2 3 2" xfId="3941" xr:uid="{00000000-0005-0000-0000-000063050000}"/>
    <cellStyle name="Hyperlink 2 4" xfId="1487" xr:uid="{00000000-0005-0000-0000-000064050000}"/>
    <cellStyle name="Hyperlink 2 5" xfId="1488" xr:uid="{00000000-0005-0000-0000-000065050000}"/>
    <cellStyle name="Hyperlink 3" xfId="78" xr:uid="{00000000-0005-0000-0000-000066050000}"/>
    <cellStyle name="Hyperlink 3 2" xfId="1489" xr:uid="{00000000-0005-0000-0000-000067050000}"/>
    <cellStyle name="Hyperlink 4" xfId="79" xr:uid="{00000000-0005-0000-0000-000068050000}"/>
    <cellStyle name="Hyperlink 4 2" xfId="1490" xr:uid="{00000000-0005-0000-0000-000069050000}"/>
    <cellStyle name="Hyperlink 5" xfId="80" xr:uid="{00000000-0005-0000-0000-00006A050000}"/>
    <cellStyle name="Imported" xfId="81" xr:uid="{00000000-0005-0000-0000-00006B050000}"/>
    <cellStyle name="imput" xfId="3927" xr:uid="{00000000-0005-0000-0000-00006C050000}"/>
    <cellStyle name="Input 2" xfId="82" xr:uid="{00000000-0005-0000-0000-00006D050000}"/>
    <cellStyle name="Input 2 10" xfId="1491" xr:uid="{00000000-0005-0000-0000-00006E050000}"/>
    <cellStyle name="Input 2 10 2" xfId="1492" xr:uid="{00000000-0005-0000-0000-00006F050000}"/>
    <cellStyle name="Input 2 10 3" xfId="1493" xr:uid="{00000000-0005-0000-0000-000070050000}"/>
    <cellStyle name="Input 2 10 4" xfId="1494" xr:uid="{00000000-0005-0000-0000-000071050000}"/>
    <cellStyle name="Input 2 10 5" xfId="1495" xr:uid="{00000000-0005-0000-0000-000072050000}"/>
    <cellStyle name="Input 2 11" xfId="1496" xr:uid="{00000000-0005-0000-0000-000073050000}"/>
    <cellStyle name="Input 2 11 2" xfId="1497" xr:uid="{00000000-0005-0000-0000-000074050000}"/>
    <cellStyle name="Input 2 11 3" xfId="1498" xr:uid="{00000000-0005-0000-0000-000075050000}"/>
    <cellStyle name="Input 2 11 4" xfId="1499" xr:uid="{00000000-0005-0000-0000-000076050000}"/>
    <cellStyle name="Input 2 11 5" xfId="1500" xr:uid="{00000000-0005-0000-0000-000077050000}"/>
    <cellStyle name="Input 2 12" xfId="1501" xr:uid="{00000000-0005-0000-0000-000078050000}"/>
    <cellStyle name="Input 2 12 2" xfId="1502" xr:uid="{00000000-0005-0000-0000-000079050000}"/>
    <cellStyle name="Input 2 12 3" xfId="1503" xr:uid="{00000000-0005-0000-0000-00007A050000}"/>
    <cellStyle name="Input 2 12 4" xfId="1504" xr:uid="{00000000-0005-0000-0000-00007B050000}"/>
    <cellStyle name="Input 2 12 5" xfId="1505" xr:uid="{00000000-0005-0000-0000-00007C050000}"/>
    <cellStyle name="Input 2 13" xfId="1506" xr:uid="{00000000-0005-0000-0000-00007D050000}"/>
    <cellStyle name="Input 2 13 2" xfId="1507" xr:uid="{00000000-0005-0000-0000-00007E050000}"/>
    <cellStyle name="Input 2 13 3" xfId="1508" xr:uid="{00000000-0005-0000-0000-00007F050000}"/>
    <cellStyle name="Input 2 13 4" xfId="1509" xr:uid="{00000000-0005-0000-0000-000080050000}"/>
    <cellStyle name="Input 2 14" xfId="1510" xr:uid="{00000000-0005-0000-0000-000081050000}"/>
    <cellStyle name="Input 2 14 2" xfId="1511" xr:uid="{00000000-0005-0000-0000-000082050000}"/>
    <cellStyle name="Input 2 14 3" xfId="1512" xr:uid="{00000000-0005-0000-0000-000083050000}"/>
    <cellStyle name="Input 2 14 4" xfId="1513" xr:uid="{00000000-0005-0000-0000-000084050000}"/>
    <cellStyle name="Input 2 15" xfId="1514" xr:uid="{00000000-0005-0000-0000-000085050000}"/>
    <cellStyle name="Input 2 15 2" xfId="1515" xr:uid="{00000000-0005-0000-0000-000086050000}"/>
    <cellStyle name="Input 2 15 3" xfId="1516" xr:uid="{00000000-0005-0000-0000-000087050000}"/>
    <cellStyle name="Input 2 15 4" xfId="1517" xr:uid="{00000000-0005-0000-0000-000088050000}"/>
    <cellStyle name="Input 2 16" xfId="1518" xr:uid="{00000000-0005-0000-0000-000089050000}"/>
    <cellStyle name="Input 2 2" xfId="1519" xr:uid="{00000000-0005-0000-0000-00008A050000}"/>
    <cellStyle name="Input 2 2 10" xfId="1520" xr:uid="{00000000-0005-0000-0000-00008B050000}"/>
    <cellStyle name="Input 2 2 10 2" xfId="1521" xr:uid="{00000000-0005-0000-0000-00008C050000}"/>
    <cellStyle name="Input 2 2 10 3" xfId="1522" xr:uid="{00000000-0005-0000-0000-00008D050000}"/>
    <cellStyle name="Input 2 2 10 4" xfId="1523" xr:uid="{00000000-0005-0000-0000-00008E050000}"/>
    <cellStyle name="Input 2 2 10 5" xfId="1524" xr:uid="{00000000-0005-0000-0000-00008F050000}"/>
    <cellStyle name="Input 2 2 11" xfId="1525" xr:uid="{00000000-0005-0000-0000-000090050000}"/>
    <cellStyle name="Input 2 2 11 2" xfId="1526" xr:uid="{00000000-0005-0000-0000-000091050000}"/>
    <cellStyle name="Input 2 2 11 3" xfId="1527" xr:uid="{00000000-0005-0000-0000-000092050000}"/>
    <cellStyle name="Input 2 2 11 4" xfId="1528" xr:uid="{00000000-0005-0000-0000-000093050000}"/>
    <cellStyle name="Input 2 2 11 5" xfId="1529" xr:uid="{00000000-0005-0000-0000-000094050000}"/>
    <cellStyle name="Input 2 2 12" xfId="1530" xr:uid="{00000000-0005-0000-0000-000095050000}"/>
    <cellStyle name="Input 2 2 12 2" xfId="1531" xr:uid="{00000000-0005-0000-0000-000096050000}"/>
    <cellStyle name="Input 2 2 12 3" xfId="1532" xr:uid="{00000000-0005-0000-0000-000097050000}"/>
    <cellStyle name="Input 2 2 12 4" xfId="1533" xr:uid="{00000000-0005-0000-0000-000098050000}"/>
    <cellStyle name="Input 2 2 12 5" xfId="1534" xr:uid="{00000000-0005-0000-0000-000099050000}"/>
    <cellStyle name="Input 2 2 13" xfId="1535" xr:uid="{00000000-0005-0000-0000-00009A050000}"/>
    <cellStyle name="Input 2 2 13 2" xfId="1536" xr:uid="{00000000-0005-0000-0000-00009B050000}"/>
    <cellStyle name="Input 2 2 13 3" xfId="1537" xr:uid="{00000000-0005-0000-0000-00009C050000}"/>
    <cellStyle name="Input 2 2 13 4" xfId="1538" xr:uid="{00000000-0005-0000-0000-00009D050000}"/>
    <cellStyle name="Input 2 2 13 5" xfId="1539" xr:uid="{00000000-0005-0000-0000-00009E050000}"/>
    <cellStyle name="Input 2 2 14" xfId="1540" xr:uid="{00000000-0005-0000-0000-00009F050000}"/>
    <cellStyle name="Input 2 2 14 2" xfId="1541" xr:uid="{00000000-0005-0000-0000-0000A0050000}"/>
    <cellStyle name="Input 2 2 14 3" xfId="1542" xr:uid="{00000000-0005-0000-0000-0000A1050000}"/>
    <cellStyle name="Input 2 2 14 4" xfId="1543" xr:uid="{00000000-0005-0000-0000-0000A2050000}"/>
    <cellStyle name="Input 2 2 14 5" xfId="1544" xr:uid="{00000000-0005-0000-0000-0000A3050000}"/>
    <cellStyle name="Input 2 2 15" xfId="1545" xr:uid="{00000000-0005-0000-0000-0000A4050000}"/>
    <cellStyle name="Input 2 2 15 2" xfId="1546" xr:uid="{00000000-0005-0000-0000-0000A5050000}"/>
    <cellStyle name="Input 2 2 15 3" xfId="1547" xr:uid="{00000000-0005-0000-0000-0000A6050000}"/>
    <cellStyle name="Input 2 2 15 4" xfId="1548" xr:uid="{00000000-0005-0000-0000-0000A7050000}"/>
    <cellStyle name="Input 2 2 15 5" xfId="1549" xr:uid="{00000000-0005-0000-0000-0000A8050000}"/>
    <cellStyle name="Input 2 2 16" xfId="1550" xr:uid="{00000000-0005-0000-0000-0000A9050000}"/>
    <cellStyle name="Input 2 2 16 2" xfId="1551" xr:uid="{00000000-0005-0000-0000-0000AA050000}"/>
    <cellStyle name="Input 2 2 16 3" xfId="1552" xr:uid="{00000000-0005-0000-0000-0000AB050000}"/>
    <cellStyle name="Input 2 2 16 4" xfId="1553" xr:uid="{00000000-0005-0000-0000-0000AC050000}"/>
    <cellStyle name="Input 2 2 16 5" xfId="1554" xr:uid="{00000000-0005-0000-0000-0000AD050000}"/>
    <cellStyle name="Input 2 2 17" xfId="1555" xr:uid="{00000000-0005-0000-0000-0000AE050000}"/>
    <cellStyle name="Input 2 2 17 2" xfId="1556" xr:uid="{00000000-0005-0000-0000-0000AF050000}"/>
    <cellStyle name="Input 2 2 17 3" xfId="1557" xr:uid="{00000000-0005-0000-0000-0000B0050000}"/>
    <cellStyle name="Input 2 2 17 4" xfId="1558" xr:uid="{00000000-0005-0000-0000-0000B1050000}"/>
    <cellStyle name="Input 2 2 17 5" xfId="1559" xr:uid="{00000000-0005-0000-0000-0000B2050000}"/>
    <cellStyle name="Input 2 2 18" xfId="1560" xr:uid="{00000000-0005-0000-0000-0000B3050000}"/>
    <cellStyle name="Input 2 2 18 2" xfId="1561" xr:uid="{00000000-0005-0000-0000-0000B4050000}"/>
    <cellStyle name="Input 2 2 18 3" xfId="1562" xr:uid="{00000000-0005-0000-0000-0000B5050000}"/>
    <cellStyle name="Input 2 2 18 4" xfId="1563" xr:uid="{00000000-0005-0000-0000-0000B6050000}"/>
    <cellStyle name="Input 2 2 18 5" xfId="1564" xr:uid="{00000000-0005-0000-0000-0000B7050000}"/>
    <cellStyle name="Input 2 2 19" xfId="1565" xr:uid="{00000000-0005-0000-0000-0000B8050000}"/>
    <cellStyle name="Input 2 2 19 2" xfId="1566" xr:uid="{00000000-0005-0000-0000-0000B9050000}"/>
    <cellStyle name="Input 2 2 19 3" xfId="1567" xr:uid="{00000000-0005-0000-0000-0000BA050000}"/>
    <cellStyle name="Input 2 2 19 4" xfId="1568" xr:uid="{00000000-0005-0000-0000-0000BB050000}"/>
    <cellStyle name="Input 2 2 2" xfId="1569" xr:uid="{00000000-0005-0000-0000-0000BC050000}"/>
    <cellStyle name="Input 2 2 2 2" xfId="1570" xr:uid="{00000000-0005-0000-0000-0000BD050000}"/>
    <cellStyle name="Input 2 2 2 3" xfId="1571" xr:uid="{00000000-0005-0000-0000-0000BE050000}"/>
    <cellStyle name="Input 2 2 2 4" xfId="1572" xr:uid="{00000000-0005-0000-0000-0000BF050000}"/>
    <cellStyle name="Input 2 2 2 5" xfId="1573" xr:uid="{00000000-0005-0000-0000-0000C0050000}"/>
    <cellStyle name="Input 2 2 20" xfId="1574" xr:uid="{00000000-0005-0000-0000-0000C1050000}"/>
    <cellStyle name="Input 2 2 20 2" xfId="1575" xr:uid="{00000000-0005-0000-0000-0000C2050000}"/>
    <cellStyle name="Input 2 2 20 3" xfId="1576" xr:uid="{00000000-0005-0000-0000-0000C3050000}"/>
    <cellStyle name="Input 2 2 20 4" xfId="1577" xr:uid="{00000000-0005-0000-0000-0000C4050000}"/>
    <cellStyle name="Input 2 2 21" xfId="1578" xr:uid="{00000000-0005-0000-0000-0000C5050000}"/>
    <cellStyle name="Input 2 2 21 2" xfId="1579" xr:uid="{00000000-0005-0000-0000-0000C6050000}"/>
    <cellStyle name="Input 2 2 21 3" xfId="1580" xr:uid="{00000000-0005-0000-0000-0000C7050000}"/>
    <cellStyle name="Input 2 2 21 4" xfId="1581" xr:uid="{00000000-0005-0000-0000-0000C8050000}"/>
    <cellStyle name="Input 2 2 22" xfId="1582" xr:uid="{00000000-0005-0000-0000-0000C9050000}"/>
    <cellStyle name="Input 2 2 22 2" xfId="1583" xr:uid="{00000000-0005-0000-0000-0000CA050000}"/>
    <cellStyle name="Input 2 2 22 3" xfId="1584" xr:uid="{00000000-0005-0000-0000-0000CB050000}"/>
    <cellStyle name="Input 2 2 22 4" xfId="1585" xr:uid="{00000000-0005-0000-0000-0000CC050000}"/>
    <cellStyle name="Input 2 2 23" xfId="1586" xr:uid="{00000000-0005-0000-0000-0000CD050000}"/>
    <cellStyle name="Input 2 2 3" xfId="1587" xr:uid="{00000000-0005-0000-0000-0000CE050000}"/>
    <cellStyle name="Input 2 2 3 2" xfId="1588" xr:uid="{00000000-0005-0000-0000-0000CF050000}"/>
    <cellStyle name="Input 2 2 3 3" xfId="1589" xr:uid="{00000000-0005-0000-0000-0000D0050000}"/>
    <cellStyle name="Input 2 2 3 4" xfId="1590" xr:uid="{00000000-0005-0000-0000-0000D1050000}"/>
    <cellStyle name="Input 2 2 3 5" xfId="1591" xr:uid="{00000000-0005-0000-0000-0000D2050000}"/>
    <cellStyle name="Input 2 2 4" xfId="1592" xr:uid="{00000000-0005-0000-0000-0000D3050000}"/>
    <cellStyle name="Input 2 2 4 2" xfId="1593" xr:uid="{00000000-0005-0000-0000-0000D4050000}"/>
    <cellStyle name="Input 2 2 4 3" xfId="1594" xr:uid="{00000000-0005-0000-0000-0000D5050000}"/>
    <cellStyle name="Input 2 2 4 4" xfId="1595" xr:uid="{00000000-0005-0000-0000-0000D6050000}"/>
    <cellStyle name="Input 2 2 4 5" xfId="1596" xr:uid="{00000000-0005-0000-0000-0000D7050000}"/>
    <cellStyle name="Input 2 2 5" xfId="1597" xr:uid="{00000000-0005-0000-0000-0000D8050000}"/>
    <cellStyle name="Input 2 2 5 2" xfId="1598" xr:uid="{00000000-0005-0000-0000-0000D9050000}"/>
    <cellStyle name="Input 2 2 5 3" xfId="1599" xr:uid="{00000000-0005-0000-0000-0000DA050000}"/>
    <cellStyle name="Input 2 2 5 4" xfId="1600" xr:uid="{00000000-0005-0000-0000-0000DB050000}"/>
    <cellStyle name="Input 2 2 5 5" xfId="1601" xr:uid="{00000000-0005-0000-0000-0000DC050000}"/>
    <cellStyle name="Input 2 2 6" xfId="1602" xr:uid="{00000000-0005-0000-0000-0000DD050000}"/>
    <cellStyle name="Input 2 2 6 2" xfId="1603" xr:uid="{00000000-0005-0000-0000-0000DE050000}"/>
    <cellStyle name="Input 2 2 6 3" xfId="1604" xr:uid="{00000000-0005-0000-0000-0000DF050000}"/>
    <cellStyle name="Input 2 2 6 4" xfId="1605" xr:uid="{00000000-0005-0000-0000-0000E0050000}"/>
    <cellStyle name="Input 2 2 6 5" xfId="1606" xr:uid="{00000000-0005-0000-0000-0000E1050000}"/>
    <cellStyle name="Input 2 2 7" xfId="1607" xr:uid="{00000000-0005-0000-0000-0000E2050000}"/>
    <cellStyle name="Input 2 2 7 2" xfId="1608" xr:uid="{00000000-0005-0000-0000-0000E3050000}"/>
    <cellStyle name="Input 2 2 7 3" xfId="1609" xr:uid="{00000000-0005-0000-0000-0000E4050000}"/>
    <cellStyle name="Input 2 2 7 4" xfId="1610" xr:uid="{00000000-0005-0000-0000-0000E5050000}"/>
    <cellStyle name="Input 2 2 7 5" xfId="1611" xr:uid="{00000000-0005-0000-0000-0000E6050000}"/>
    <cellStyle name="Input 2 2 8" xfId="1612" xr:uid="{00000000-0005-0000-0000-0000E7050000}"/>
    <cellStyle name="Input 2 2 8 2" xfId="1613" xr:uid="{00000000-0005-0000-0000-0000E8050000}"/>
    <cellStyle name="Input 2 2 8 3" xfId="1614" xr:uid="{00000000-0005-0000-0000-0000E9050000}"/>
    <cellStyle name="Input 2 2 8 4" xfId="1615" xr:uid="{00000000-0005-0000-0000-0000EA050000}"/>
    <cellStyle name="Input 2 2 8 5" xfId="1616" xr:uid="{00000000-0005-0000-0000-0000EB050000}"/>
    <cellStyle name="Input 2 2 9" xfId="1617" xr:uid="{00000000-0005-0000-0000-0000EC050000}"/>
    <cellStyle name="Input 2 2 9 2" xfId="1618" xr:uid="{00000000-0005-0000-0000-0000ED050000}"/>
    <cellStyle name="Input 2 2 9 3" xfId="1619" xr:uid="{00000000-0005-0000-0000-0000EE050000}"/>
    <cellStyle name="Input 2 2 9 4" xfId="1620" xr:uid="{00000000-0005-0000-0000-0000EF050000}"/>
    <cellStyle name="Input 2 2 9 5" xfId="1621" xr:uid="{00000000-0005-0000-0000-0000F0050000}"/>
    <cellStyle name="Input 2 3" xfId="1622" xr:uid="{00000000-0005-0000-0000-0000F1050000}"/>
    <cellStyle name="Input 2 3 10" xfId="1623" xr:uid="{00000000-0005-0000-0000-0000F2050000}"/>
    <cellStyle name="Input 2 3 10 2" xfId="1624" xr:uid="{00000000-0005-0000-0000-0000F3050000}"/>
    <cellStyle name="Input 2 3 10 3" xfId="1625" xr:uid="{00000000-0005-0000-0000-0000F4050000}"/>
    <cellStyle name="Input 2 3 10 4" xfId="1626" xr:uid="{00000000-0005-0000-0000-0000F5050000}"/>
    <cellStyle name="Input 2 3 10 5" xfId="1627" xr:uid="{00000000-0005-0000-0000-0000F6050000}"/>
    <cellStyle name="Input 2 3 11" xfId="1628" xr:uid="{00000000-0005-0000-0000-0000F7050000}"/>
    <cellStyle name="Input 2 3 11 2" xfId="1629" xr:uid="{00000000-0005-0000-0000-0000F8050000}"/>
    <cellStyle name="Input 2 3 11 3" xfId="1630" xr:uid="{00000000-0005-0000-0000-0000F9050000}"/>
    <cellStyle name="Input 2 3 11 4" xfId="1631" xr:uid="{00000000-0005-0000-0000-0000FA050000}"/>
    <cellStyle name="Input 2 3 11 5" xfId="1632" xr:uid="{00000000-0005-0000-0000-0000FB050000}"/>
    <cellStyle name="Input 2 3 12" xfId="1633" xr:uid="{00000000-0005-0000-0000-0000FC050000}"/>
    <cellStyle name="Input 2 3 12 2" xfId="1634" xr:uid="{00000000-0005-0000-0000-0000FD050000}"/>
    <cellStyle name="Input 2 3 12 3" xfId="1635" xr:uid="{00000000-0005-0000-0000-0000FE050000}"/>
    <cellStyle name="Input 2 3 12 4" xfId="1636" xr:uid="{00000000-0005-0000-0000-0000FF050000}"/>
    <cellStyle name="Input 2 3 12 5" xfId="1637" xr:uid="{00000000-0005-0000-0000-000000060000}"/>
    <cellStyle name="Input 2 3 13" xfId="1638" xr:uid="{00000000-0005-0000-0000-000001060000}"/>
    <cellStyle name="Input 2 3 13 2" xfId="1639" xr:uid="{00000000-0005-0000-0000-000002060000}"/>
    <cellStyle name="Input 2 3 13 3" xfId="1640" xr:uid="{00000000-0005-0000-0000-000003060000}"/>
    <cellStyle name="Input 2 3 13 4" xfId="1641" xr:uid="{00000000-0005-0000-0000-000004060000}"/>
    <cellStyle name="Input 2 3 13 5" xfId="1642" xr:uid="{00000000-0005-0000-0000-000005060000}"/>
    <cellStyle name="Input 2 3 14" xfId="1643" xr:uid="{00000000-0005-0000-0000-000006060000}"/>
    <cellStyle name="Input 2 3 14 2" xfId="1644" xr:uid="{00000000-0005-0000-0000-000007060000}"/>
    <cellStyle name="Input 2 3 14 3" xfId="1645" xr:uid="{00000000-0005-0000-0000-000008060000}"/>
    <cellStyle name="Input 2 3 14 4" xfId="1646" xr:uid="{00000000-0005-0000-0000-000009060000}"/>
    <cellStyle name="Input 2 3 14 5" xfId="1647" xr:uid="{00000000-0005-0000-0000-00000A060000}"/>
    <cellStyle name="Input 2 3 15" xfId="1648" xr:uid="{00000000-0005-0000-0000-00000B060000}"/>
    <cellStyle name="Input 2 3 15 2" xfId="1649" xr:uid="{00000000-0005-0000-0000-00000C060000}"/>
    <cellStyle name="Input 2 3 15 3" xfId="1650" xr:uid="{00000000-0005-0000-0000-00000D060000}"/>
    <cellStyle name="Input 2 3 15 4" xfId="1651" xr:uid="{00000000-0005-0000-0000-00000E060000}"/>
    <cellStyle name="Input 2 3 15 5" xfId="1652" xr:uid="{00000000-0005-0000-0000-00000F060000}"/>
    <cellStyle name="Input 2 3 16" xfId="1653" xr:uid="{00000000-0005-0000-0000-000010060000}"/>
    <cellStyle name="Input 2 3 16 2" xfId="1654" xr:uid="{00000000-0005-0000-0000-000011060000}"/>
    <cellStyle name="Input 2 3 16 3" xfId="1655" xr:uid="{00000000-0005-0000-0000-000012060000}"/>
    <cellStyle name="Input 2 3 16 4" xfId="1656" xr:uid="{00000000-0005-0000-0000-000013060000}"/>
    <cellStyle name="Input 2 3 16 5" xfId="1657" xr:uid="{00000000-0005-0000-0000-000014060000}"/>
    <cellStyle name="Input 2 3 17" xfId="1658" xr:uid="{00000000-0005-0000-0000-000015060000}"/>
    <cellStyle name="Input 2 3 17 2" xfId="1659" xr:uid="{00000000-0005-0000-0000-000016060000}"/>
    <cellStyle name="Input 2 3 17 3" xfId="1660" xr:uid="{00000000-0005-0000-0000-000017060000}"/>
    <cellStyle name="Input 2 3 17 4" xfId="1661" xr:uid="{00000000-0005-0000-0000-000018060000}"/>
    <cellStyle name="Input 2 3 17 5" xfId="1662" xr:uid="{00000000-0005-0000-0000-000019060000}"/>
    <cellStyle name="Input 2 3 18" xfId="1663" xr:uid="{00000000-0005-0000-0000-00001A060000}"/>
    <cellStyle name="Input 2 3 18 2" xfId="1664" xr:uid="{00000000-0005-0000-0000-00001B060000}"/>
    <cellStyle name="Input 2 3 18 3" xfId="1665" xr:uid="{00000000-0005-0000-0000-00001C060000}"/>
    <cellStyle name="Input 2 3 18 4" xfId="1666" xr:uid="{00000000-0005-0000-0000-00001D060000}"/>
    <cellStyle name="Input 2 3 18 5" xfId="1667" xr:uid="{00000000-0005-0000-0000-00001E060000}"/>
    <cellStyle name="Input 2 3 19" xfId="1668" xr:uid="{00000000-0005-0000-0000-00001F060000}"/>
    <cellStyle name="Input 2 3 19 2" xfId="1669" xr:uid="{00000000-0005-0000-0000-000020060000}"/>
    <cellStyle name="Input 2 3 19 3" xfId="1670" xr:uid="{00000000-0005-0000-0000-000021060000}"/>
    <cellStyle name="Input 2 3 19 4" xfId="1671" xr:uid="{00000000-0005-0000-0000-000022060000}"/>
    <cellStyle name="Input 2 3 2" xfId="1672" xr:uid="{00000000-0005-0000-0000-000023060000}"/>
    <cellStyle name="Input 2 3 2 2" xfId="1673" xr:uid="{00000000-0005-0000-0000-000024060000}"/>
    <cellStyle name="Input 2 3 2 3" xfId="1674" xr:uid="{00000000-0005-0000-0000-000025060000}"/>
    <cellStyle name="Input 2 3 2 4" xfId="1675" xr:uid="{00000000-0005-0000-0000-000026060000}"/>
    <cellStyle name="Input 2 3 2 5" xfId="1676" xr:uid="{00000000-0005-0000-0000-000027060000}"/>
    <cellStyle name="Input 2 3 20" xfId="1677" xr:uid="{00000000-0005-0000-0000-000028060000}"/>
    <cellStyle name="Input 2 3 20 2" xfId="1678" xr:uid="{00000000-0005-0000-0000-000029060000}"/>
    <cellStyle name="Input 2 3 20 3" xfId="1679" xr:uid="{00000000-0005-0000-0000-00002A060000}"/>
    <cellStyle name="Input 2 3 20 4" xfId="1680" xr:uid="{00000000-0005-0000-0000-00002B060000}"/>
    <cellStyle name="Input 2 3 21" xfId="1681" xr:uid="{00000000-0005-0000-0000-00002C060000}"/>
    <cellStyle name="Input 2 3 21 2" xfId="1682" xr:uid="{00000000-0005-0000-0000-00002D060000}"/>
    <cellStyle name="Input 2 3 21 3" xfId="1683" xr:uid="{00000000-0005-0000-0000-00002E060000}"/>
    <cellStyle name="Input 2 3 21 4" xfId="1684" xr:uid="{00000000-0005-0000-0000-00002F060000}"/>
    <cellStyle name="Input 2 3 22" xfId="1685" xr:uid="{00000000-0005-0000-0000-000030060000}"/>
    <cellStyle name="Input 2 3 22 2" xfId="1686" xr:uid="{00000000-0005-0000-0000-000031060000}"/>
    <cellStyle name="Input 2 3 22 3" xfId="1687" xr:uid="{00000000-0005-0000-0000-000032060000}"/>
    <cellStyle name="Input 2 3 22 4" xfId="1688" xr:uid="{00000000-0005-0000-0000-000033060000}"/>
    <cellStyle name="Input 2 3 23" xfId="1689" xr:uid="{00000000-0005-0000-0000-000034060000}"/>
    <cellStyle name="Input 2 3 3" xfId="1690" xr:uid="{00000000-0005-0000-0000-000035060000}"/>
    <cellStyle name="Input 2 3 3 2" xfId="1691" xr:uid="{00000000-0005-0000-0000-000036060000}"/>
    <cellStyle name="Input 2 3 3 3" xfId="1692" xr:uid="{00000000-0005-0000-0000-000037060000}"/>
    <cellStyle name="Input 2 3 3 4" xfId="1693" xr:uid="{00000000-0005-0000-0000-000038060000}"/>
    <cellStyle name="Input 2 3 3 5" xfId="1694" xr:uid="{00000000-0005-0000-0000-000039060000}"/>
    <cellStyle name="Input 2 3 4" xfId="1695" xr:uid="{00000000-0005-0000-0000-00003A060000}"/>
    <cellStyle name="Input 2 3 4 2" xfId="1696" xr:uid="{00000000-0005-0000-0000-00003B060000}"/>
    <cellStyle name="Input 2 3 4 3" xfId="1697" xr:uid="{00000000-0005-0000-0000-00003C060000}"/>
    <cellStyle name="Input 2 3 4 4" xfId="1698" xr:uid="{00000000-0005-0000-0000-00003D060000}"/>
    <cellStyle name="Input 2 3 4 5" xfId="1699" xr:uid="{00000000-0005-0000-0000-00003E060000}"/>
    <cellStyle name="Input 2 3 5" xfId="1700" xr:uid="{00000000-0005-0000-0000-00003F060000}"/>
    <cellStyle name="Input 2 3 5 2" xfId="1701" xr:uid="{00000000-0005-0000-0000-000040060000}"/>
    <cellStyle name="Input 2 3 5 3" xfId="1702" xr:uid="{00000000-0005-0000-0000-000041060000}"/>
    <cellStyle name="Input 2 3 5 4" xfId="1703" xr:uid="{00000000-0005-0000-0000-000042060000}"/>
    <cellStyle name="Input 2 3 5 5" xfId="1704" xr:uid="{00000000-0005-0000-0000-000043060000}"/>
    <cellStyle name="Input 2 3 6" xfId="1705" xr:uid="{00000000-0005-0000-0000-000044060000}"/>
    <cellStyle name="Input 2 3 6 2" xfId="1706" xr:uid="{00000000-0005-0000-0000-000045060000}"/>
    <cellStyle name="Input 2 3 6 3" xfId="1707" xr:uid="{00000000-0005-0000-0000-000046060000}"/>
    <cellStyle name="Input 2 3 6 4" xfId="1708" xr:uid="{00000000-0005-0000-0000-000047060000}"/>
    <cellStyle name="Input 2 3 6 5" xfId="1709" xr:uid="{00000000-0005-0000-0000-000048060000}"/>
    <cellStyle name="Input 2 3 7" xfId="1710" xr:uid="{00000000-0005-0000-0000-000049060000}"/>
    <cellStyle name="Input 2 3 7 2" xfId="1711" xr:uid="{00000000-0005-0000-0000-00004A060000}"/>
    <cellStyle name="Input 2 3 7 3" xfId="1712" xr:uid="{00000000-0005-0000-0000-00004B060000}"/>
    <cellStyle name="Input 2 3 7 4" xfId="1713" xr:uid="{00000000-0005-0000-0000-00004C060000}"/>
    <cellStyle name="Input 2 3 7 5" xfId="1714" xr:uid="{00000000-0005-0000-0000-00004D060000}"/>
    <cellStyle name="Input 2 3 8" xfId="1715" xr:uid="{00000000-0005-0000-0000-00004E060000}"/>
    <cellStyle name="Input 2 3 8 2" xfId="1716" xr:uid="{00000000-0005-0000-0000-00004F060000}"/>
    <cellStyle name="Input 2 3 8 3" xfId="1717" xr:uid="{00000000-0005-0000-0000-000050060000}"/>
    <cellStyle name="Input 2 3 8 4" xfId="1718" xr:uid="{00000000-0005-0000-0000-000051060000}"/>
    <cellStyle name="Input 2 3 8 5" xfId="1719" xr:uid="{00000000-0005-0000-0000-000052060000}"/>
    <cellStyle name="Input 2 3 9" xfId="1720" xr:uid="{00000000-0005-0000-0000-000053060000}"/>
    <cellStyle name="Input 2 3 9 2" xfId="1721" xr:uid="{00000000-0005-0000-0000-000054060000}"/>
    <cellStyle name="Input 2 3 9 3" xfId="1722" xr:uid="{00000000-0005-0000-0000-000055060000}"/>
    <cellStyle name="Input 2 3 9 4" xfId="1723" xr:uid="{00000000-0005-0000-0000-000056060000}"/>
    <cellStyle name="Input 2 3 9 5" xfId="1724" xr:uid="{00000000-0005-0000-0000-000057060000}"/>
    <cellStyle name="Input 2 4" xfId="1725" xr:uid="{00000000-0005-0000-0000-000058060000}"/>
    <cellStyle name="Input 2 4 10" xfId="1726" xr:uid="{00000000-0005-0000-0000-000059060000}"/>
    <cellStyle name="Input 2 4 10 2" xfId="1727" xr:uid="{00000000-0005-0000-0000-00005A060000}"/>
    <cellStyle name="Input 2 4 10 3" xfId="1728" xr:uid="{00000000-0005-0000-0000-00005B060000}"/>
    <cellStyle name="Input 2 4 10 4" xfId="1729" xr:uid="{00000000-0005-0000-0000-00005C060000}"/>
    <cellStyle name="Input 2 4 10 5" xfId="1730" xr:uid="{00000000-0005-0000-0000-00005D060000}"/>
    <cellStyle name="Input 2 4 11" xfId="1731" xr:uid="{00000000-0005-0000-0000-00005E060000}"/>
    <cellStyle name="Input 2 4 11 2" xfId="1732" xr:uid="{00000000-0005-0000-0000-00005F060000}"/>
    <cellStyle name="Input 2 4 11 3" xfId="1733" xr:uid="{00000000-0005-0000-0000-000060060000}"/>
    <cellStyle name="Input 2 4 11 4" xfId="1734" xr:uid="{00000000-0005-0000-0000-000061060000}"/>
    <cellStyle name="Input 2 4 11 5" xfId="1735" xr:uid="{00000000-0005-0000-0000-000062060000}"/>
    <cellStyle name="Input 2 4 12" xfId="1736" xr:uid="{00000000-0005-0000-0000-000063060000}"/>
    <cellStyle name="Input 2 4 12 2" xfId="1737" xr:uid="{00000000-0005-0000-0000-000064060000}"/>
    <cellStyle name="Input 2 4 12 3" xfId="1738" xr:uid="{00000000-0005-0000-0000-000065060000}"/>
    <cellStyle name="Input 2 4 12 4" xfId="1739" xr:uid="{00000000-0005-0000-0000-000066060000}"/>
    <cellStyle name="Input 2 4 12 5" xfId="1740" xr:uid="{00000000-0005-0000-0000-000067060000}"/>
    <cellStyle name="Input 2 4 13" xfId="1741" xr:uid="{00000000-0005-0000-0000-000068060000}"/>
    <cellStyle name="Input 2 4 13 2" xfId="1742" xr:uid="{00000000-0005-0000-0000-000069060000}"/>
    <cellStyle name="Input 2 4 13 3" xfId="1743" xr:uid="{00000000-0005-0000-0000-00006A060000}"/>
    <cellStyle name="Input 2 4 13 4" xfId="1744" xr:uid="{00000000-0005-0000-0000-00006B060000}"/>
    <cellStyle name="Input 2 4 13 5" xfId="1745" xr:uid="{00000000-0005-0000-0000-00006C060000}"/>
    <cellStyle name="Input 2 4 14" xfId="1746" xr:uid="{00000000-0005-0000-0000-00006D060000}"/>
    <cellStyle name="Input 2 4 14 2" xfId="1747" xr:uid="{00000000-0005-0000-0000-00006E060000}"/>
    <cellStyle name="Input 2 4 14 3" xfId="1748" xr:uid="{00000000-0005-0000-0000-00006F060000}"/>
    <cellStyle name="Input 2 4 14 4" xfId="1749" xr:uid="{00000000-0005-0000-0000-000070060000}"/>
    <cellStyle name="Input 2 4 14 5" xfId="1750" xr:uid="{00000000-0005-0000-0000-000071060000}"/>
    <cellStyle name="Input 2 4 15" xfId="1751" xr:uid="{00000000-0005-0000-0000-000072060000}"/>
    <cellStyle name="Input 2 4 15 2" xfId="1752" xr:uid="{00000000-0005-0000-0000-000073060000}"/>
    <cellStyle name="Input 2 4 15 3" xfId="1753" xr:uid="{00000000-0005-0000-0000-000074060000}"/>
    <cellStyle name="Input 2 4 15 4" xfId="1754" xr:uid="{00000000-0005-0000-0000-000075060000}"/>
    <cellStyle name="Input 2 4 15 5" xfId="1755" xr:uid="{00000000-0005-0000-0000-000076060000}"/>
    <cellStyle name="Input 2 4 16" xfId="1756" xr:uid="{00000000-0005-0000-0000-000077060000}"/>
    <cellStyle name="Input 2 4 16 2" xfId="1757" xr:uid="{00000000-0005-0000-0000-000078060000}"/>
    <cellStyle name="Input 2 4 16 3" xfId="1758" xr:uid="{00000000-0005-0000-0000-000079060000}"/>
    <cellStyle name="Input 2 4 16 4" xfId="1759" xr:uid="{00000000-0005-0000-0000-00007A060000}"/>
    <cellStyle name="Input 2 4 16 5" xfId="1760" xr:uid="{00000000-0005-0000-0000-00007B060000}"/>
    <cellStyle name="Input 2 4 17" xfId="1761" xr:uid="{00000000-0005-0000-0000-00007C060000}"/>
    <cellStyle name="Input 2 4 17 2" xfId="1762" xr:uid="{00000000-0005-0000-0000-00007D060000}"/>
    <cellStyle name="Input 2 4 17 3" xfId="1763" xr:uid="{00000000-0005-0000-0000-00007E060000}"/>
    <cellStyle name="Input 2 4 17 4" xfId="1764" xr:uid="{00000000-0005-0000-0000-00007F060000}"/>
    <cellStyle name="Input 2 4 17 5" xfId="1765" xr:uid="{00000000-0005-0000-0000-000080060000}"/>
    <cellStyle name="Input 2 4 18" xfId="1766" xr:uid="{00000000-0005-0000-0000-000081060000}"/>
    <cellStyle name="Input 2 4 18 2" xfId="1767" xr:uid="{00000000-0005-0000-0000-000082060000}"/>
    <cellStyle name="Input 2 4 18 3" xfId="1768" xr:uid="{00000000-0005-0000-0000-000083060000}"/>
    <cellStyle name="Input 2 4 18 4" xfId="1769" xr:uid="{00000000-0005-0000-0000-000084060000}"/>
    <cellStyle name="Input 2 4 18 5" xfId="1770" xr:uid="{00000000-0005-0000-0000-000085060000}"/>
    <cellStyle name="Input 2 4 19" xfId="1771" xr:uid="{00000000-0005-0000-0000-000086060000}"/>
    <cellStyle name="Input 2 4 19 2" xfId="1772" xr:uid="{00000000-0005-0000-0000-000087060000}"/>
    <cellStyle name="Input 2 4 19 3" xfId="1773" xr:uid="{00000000-0005-0000-0000-000088060000}"/>
    <cellStyle name="Input 2 4 19 4" xfId="1774" xr:uid="{00000000-0005-0000-0000-000089060000}"/>
    <cellStyle name="Input 2 4 2" xfId="1775" xr:uid="{00000000-0005-0000-0000-00008A060000}"/>
    <cellStyle name="Input 2 4 2 2" xfId="1776" xr:uid="{00000000-0005-0000-0000-00008B060000}"/>
    <cellStyle name="Input 2 4 2 3" xfId="1777" xr:uid="{00000000-0005-0000-0000-00008C060000}"/>
    <cellStyle name="Input 2 4 2 4" xfId="1778" xr:uid="{00000000-0005-0000-0000-00008D060000}"/>
    <cellStyle name="Input 2 4 2 5" xfId="1779" xr:uid="{00000000-0005-0000-0000-00008E060000}"/>
    <cellStyle name="Input 2 4 20" xfId="1780" xr:uid="{00000000-0005-0000-0000-00008F060000}"/>
    <cellStyle name="Input 2 4 20 2" xfId="1781" xr:uid="{00000000-0005-0000-0000-000090060000}"/>
    <cellStyle name="Input 2 4 20 3" xfId="1782" xr:uid="{00000000-0005-0000-0000-000091060000}"/>
    <cellStyle name="Input 2 4 20 4" xfId="1783" xr:uid="{00000000-0005-0000-0000-000092060000}"/>
    <cellStyle name="Input 2 4 21" xfId="1784" xr:uid="{00000000-0005-0000-0000-000093060000}"/>
    <cellStyle name="Input 2 4 21 2" xfId="1785" xr:uid="{00000000-0005-0000-0000-000094060000}"/>
    <cellStyle name="Input 2 4 21 3" xfId="1786" xr:uid="{00000000-0005-0000-0000-000095060000}"/>
    <cellStyle name="Input 2 4 21 4" xfId="1787" xr:uid="{00000000-0005-0000-0000-000096060000}"/>
    <cellStyle name="Input 2 4 22" xfId="1788" xr:uid="{00000000-0005-0000-0000-000097060000}"/>
    <cellStyle name="Input 2 4 22 2" xfId="1789" xr:uid="{00000000-0005-0000-0000-000098060000}"/>
    <cellStyle name="Input 2 4 22 3" xfId="1790" xr:uid="{00000000-0005-0000-0000-000099060000}"/>
    <cellStyle name="Input 2 4 22 4" xfId="1791" xr:uid="{00000000-0005-0000-0000-00009A060000}"/>
    <cellStyle name="Input 2 4 23" xfId="1792" xr:uid="{00000000-0005-0000-0000-00009B060000}"/>
    <cellStyle name="Input 2 4 3" xfId="1793" xr:uid="{00000000-0005-0000-0000-00009C060000}"/>
    <cellStyle name="Input 2 4 3 2" xfId="1794" xr:uid="{00000000-0005-0000-0000-00009D060000}"/>
    <cellStyle name="Input 2 4 3 3" xfId="1795" xr:uid="{00000000-0005-0000-0000-00009E060000}"/>
    <cellStyle name="Input 2 4 3 4" xfId="1796" xr:uid="{00000000-0005-0000-0000-00009F060000}"/>
    <cellStyle name="Input 2 4 3 5" xfId="1797" xr:uid="{00000000-0005-0000-0000-0000A0060000}"/>
    <cellStyle name="Input 2 4 4" xfId="1798" xr:uid="{00000000-0005-0000-0000-0000A1060000}"/>
    <cellStyle name="Input 2 4 4 2" xfId="1799" xr:uid="{00000000-0005-0000-0000-0000A2060000}"/>
    <cellStyle name="Input 2 4 4 3" xfId="1800" xr:uid="{00000000-0005-0000-0000-0000A3060000}"/>
    <cellStyle name="Input 2 4 4 4" xfId="1801" xr:uid="{00000000-0005-0000-0000-0000A4060000}"/>
    <cellStyle name="Input 2 4 4 5" xfId="1802" xr:uid="{00000000-0005-0000-0000-0000A5060000}"/>
    <cellStyle name="Input 2 4 5" xfId="1803" xr:uid="{00000000-0005-0000-0000-0000A6060000}"/>
    <cellStyle name="Input 2 4 5 2" xfId="1804" xr:uid="{00000000-0005-0000-0000-0000A7060000}"/>
    <cellStyle name="Input 2 4 5 3" xfId="1805" xr:uid="{00000000-0005-0000-0000-0000A8060000}"/>
    <cellStyle name="Input 2 4 5 4" xfId="1806" xr:uid="{00000000-0005-0000-0000-0000A9060000}"/>
    <cellStyle name="Input 2 4 5 5" xfId="1807" xr:uid="{00000000-0005-0000-0000-0000AA060000}"/>
    <cellStyle name="Input 2 4 6" xfId="1808" xr:uid="{00000000-0005-0000-0000-0000AB060000}"/>
    <cellStyle name="Input 2 4 6 2" xfId="1809" xr:uid="{00000000-0005-0000-0000-0000AC060000}"/>
    <cellStyle name="Input 2 4 6 3" xfId="1810" xr:uid="{00000000-0005-0000-0000-0000AD060000}"/>
    <cellStyle name="Input 2 4 6 4" xfId="1811" xr:uid="{00000000-0005-0000-0000-0000AE060000}"/>
    <cellStyle name="Input 2 4 6 5" xfId="1812" xr:uid="{00000000-0005-0000-0000-0000AF060000}"/>
    <cellStyle name="Input 2 4 7" xfId="1813" xr:uid="{00000000-0005-0000-0000-0000B0060000}"/>
    <cellStyle name="Input 2 4 7 2" xfId="1814" xr:uid="{00000000-0005-0000-0000-0000B1060000}"/>
    <cellStyle name="Input 2 4 7 3" xfId="1815" xr:uid="{00000000-0005-0000-0000-0000B2060000}"/>
    <cellStyle name="Input 2 4 7 4" xfId="1816" xr:uid="{00000000-0005-0000-0000-0000B3060000}"/>
    <cellStyle name="Input 2 4 7 5" xfId="1817" xr:uid="{00000000-0005-0000-0000-0000B4060000}"/>
    <cellStyle name="Input 2 4 8" xfId="1818" xr:uid="{00000000-0005-0000-0000-0000B5060000}"/>
    <cellStyle name="Input 2 4 8 2" xfId="1819" xr:uid="{00000000-0005-0000-0000-0000B6060000}"/>
    <cellStyle name="Input 2 4 8 3" xfId="1820" xr:uid="{00000000-0005-0000-0000-0000B7060000}"/>
    <cellStyle name="Input 2 4 8 4" xfId="1821" xr:uid="{00000000-0005-0000-0000-0000B8060000}"/>
    <cellStyle name="Input 2 4 8 5" xfId="1822" xr:uid="{00000000-0005-0000-0000-0000B9060000}"/>
    <cellStyle name="Input 2 4 9" xfId="1823" xr:uid="{00000000-0005-0000-0000-0000BA060000}"/>
    <cellStyle name="Input 2 4 9 2" xfId="1824" xr:uid="{00000000-0005-0000-0000-0000BB060000}"/>
    <cellStyle name="Input 2 4 9 3" xfId="1825" xr:uid="{00000000-0005-0000-0000-0000BC060000}"/>
    <cellStyle name="Input 2 4 9 4" xfId="1826" xr:uid="{00000000-0005-0000-0000-0000BD060000}"/>
    <cellStyle name="Input 2 4 9 5" xfId="1827" xr:uid="{00000000-0005-0000-0000-0000BE060000}"/>
    <cellStyle name="Input 2 5" xfId="1828" xr:uid="{00000000-0005-0000-0000-0000BF060000}"/>
    <cellStyle name="Input 2 5 10" xfId="1829" xr:uid="{00000000-0005-0000-0000-0000C0060000}"/>
    <cellStyle name="Input 2 5 10 2" xfId="1830" xr:uid="{00000000-0005-0000-0000-0000C1060000}"/>
    <cellStyle name="Input 2 5 10 3" xfId="1831" xr:uid="{00000000-0005-0000-0000-0000C2060000}"/>
    <cellStyle name="Input 2 5 10 4" xfId="1832" xr:uid="{00000000-0005-0000-0000-0000C3060000}"/>
    <cellStyle name="Input 2 5 10 5" xfId="1833" xr:uid="{00000000-0005-0000-0000-0000C4060000}"/>
    <cellStyle name="Input 2 5 11" xfId="1834" xr:uid="{00000000-0005-0000-0000-0000C5060000}"/>
    <cellStyle name="Input 2 5 11 2" xfId="1835" xr:uid="{00000000-0005-0000-0000-0000C6060000}"/>
    <cellStyle name="Input 2 5 11 3" xfId="1836" xr:uid="{00000000-0005-0000-0000-0000C7060000}"/>
    <cellStyle name="Input 2 5 11 4" xfId="1837" xr:uid="{00000000-0005-0000-0000-0000C8060000}"/>
    <cellStyle name="Input 2 5 11 5" xfId="1838" xr:uid="{00000000-0005-0000-0000-0000C9060000}"/>
    <cellStyle name="Input 2 5 12" xfId="1839" xr:uid="{00000000-0005-0000-0000-0000CA060000}"/>
    <cellStyle name="Input 2 5 12 2" xfId="1840" xr:uid="{00000000-0005-0000-0000-0000CB060000}"/>
    <cellStyle name="Input 2 5 12 3" xfId="1841" xr:uid="{00000000-0005-0000-0000-0000CC060000}"/>
    <cellStyle name="Input 2 5 12 4" xfId="1842" xr:uid="{00000000-0005-0000-0000-0000CD060000}"/>
    <cellStyle name="Input 2 5 12 5" xfId="1843" xr:uid="{00000000-0005-0000-0000-0000CE060000}"/>
    <cellStyle name="Input 2 5 13" xfId="1844" xr:uid="{00000000-0005-0000-0000-0000CF060000}"/>
    <cellStyle name="Input 2 5 13 2" xfId="1845" xr:uid="{00000000-0005-0000-0000-0000D0060000}"/>
    <cellStyle name="Input 2 5 13 3" xfId="1846" xr:uid="{00000000-0005-0000-0000-0000D1060000}"/>
    <cellStyle name="Input 2 5 13 4" xfId="1847" xr:uid="{00000000-0005-0000-0000-0000D2060000}"/>
    <cellStyle name="Input 2 5 13 5" xfId="1848" xr:uid="{00000000-0005-0000-0000-0000D3060000}"/>
    <cellStyle name="Input 2 5 14" xfId="1849" xr:uid="{00000000-0005-0000-0000-0000D4060000}"/>
    <cellStyle name="Input 2 5 14 2" xfId="1850" xr:uid="{00000000-0005-0000-0000-0000D5060000}"/>
    <cellStyle name="Input 2 5 14 3" xfId="1851" xr:uid="{00000000-0005-0000-0000-0000D6060000}"/>
    <cellStyle name="Input 2 5 14 4" xfId="1852" xr:uid="{00000000-0005-0000-0000-0000D7060000}"/>
    <cellStyle name="Input 2 5 14 5" xfId="1853" xr:uid="{00000000-0005-0000-0000-0000D8060000}"/>
    <cellStyle name="Input 2 5 15" xfId="1854" xr:uid="{00000000-0005-0000-0000-0000D9060000}"/>
    <cellStyle name="Input 2 5 15 2" xfId="1855" xr:uid="{00000000-0005-0000-0000-0000DA060000}"/>
    <cellStyle name="Input 2 5 15 3" xfId="1856" xr:uid="{00000000-0005-0000-0000-0000DB060000}"/>
    <cellStyle name="Input 2 5 15 4" xfId="1857" xr:uid="{00000000-0005-0000-0000-0000DC060000}"/>
    <cellStyle name="Input 2 5 15 5" xfId="1858" xr:uid="{00000000-0005-0000-0000-0000DD060000}"/>
    <cellStyle name="Input 2 5 16" xfId="1859" xr:uid="{00000000-0005-0000-0000-0000DE060000}"/>
    <cellStyle name="Input 2 5 16 2" xfId="1860" xr:uid="{00000000-0005-0000-0000-0000DF060000}"/>
    <cellStyle name="Input 2 5 16 3" xfId="1861" xr:uid="{00000000-0005-0000-0000-0000E0060000}"/>
    <cellStyle name="Input 2 5 16 4" xfId="1862" xr:uid="{00000000-0005-0000-0000-0000E1060000}"/>
    <cellStyle name="Input 2 5 16 5" xfId="1863" xr:uid="{00000000-0005-0000-0000-0000E2060000}"/>
    <cellStyle name="Input 2 5 17" xfId="1864" xr:uid="{00000000-0005-0000-0000-0000E3060000}"/>
    <cellStyle name="Input 2 5 17 2" xfId="1865" xr:uid="{00000000-0005-0000-0000-0000E4060000}"/>
    <cellStyle name="Input 2 5 17 3" xfId="1866" xr:uid="{00000000-0005-0000-0000-0000E5060000}"/>
    <cellStyle name="Input 2 5 17 4" xfId="1867" xr:uid="{00000000-0005-0000-0000-0000E6060000}"/>
    <cellStyle name="Input 2 5 17 5" xfId="1868" xr:uid="{00000000-0005-0000-0000-0000E7060000}"/>
    <cellStyle name="Input 2 5 18" xfId="1869" xr:uid="{00000000-0005-0000-0000-0000E8060000}"/>
    <cellStyle name="Input 2 5 18 2" xfId="1870" xr:uid="{00000000-0005-0000-0000-0000E9060000}"/>
    <cellStyle name="Input 2 5 18 3" xfId="1871" xr:uid="{00000000-0005-0000-0000-0000EA060000}"/>
    <cellStyle name="Input 2 5 18 4" xfId="1872" xr:uid="{00000000-0005-0000-0000-0000EB060000}"/>
    <cellStyle name="Input 2 5 18 5" xfId="1873" xr:uid="{00000000-0005-0000-0000-0000EC060000}"/>
    <cellStyle name="Input 2 5 19" xfId="1874" xr:uid="{00000000-0005-0000-0000-0000ED060000}"/>
    <cellStyle name="Input 2 5 19 2" xfId="1875" xr:uid="{00000000-0005-0000-0000-0000EE060000}"/>
    <cellStyle name="Input 2 5 19 3" xfId="1876" xr:uid="{00000000-0005-0000-0000-0000EF060000}"/>
    <cellStyle name="Input 2 5 19 4" xfId="1877" xr:uid="{00000000-0005-0000-0000-0000F0060000}"/>
    <cellStyle name="Input 2 5 2" xfId="1878" xr:uid="{00000000-0005-0000-0000-0000F1060000}"/>
    <cellStyle name="Input 2 5 2 2" xfId="1879" xr:uid="{00000000-0005-0000-0000-0000F2060000}"/>
    <cellStyle name="Input 2 5 2 3" xfId="1880" xr:uid="{00000000-0005-0000-0000-0000F3060000}"/>
    <cellStyle name="Input 2 5 2 4" xfId="1881" xr:uid="{00000000-0005-0000-0000-0000F4060000}"/>
    <cellStyle name="Input 2 5 2 5" xfId="1882" xr:uid="{00000000-0005-0000-0000-0000F5060000}"/>
    <cellStyle name="Input 2 5 20" xfId="1883" xr:uid="{00000000-0005-0000-0000-0000F6060000}"/>
    <cellStyle name="Input 2 5 20 2" xfId="1884" xr:uid="{00000000-0005-0000-0000-0000F7060000}"/>
    <cellStyle name="Input 2 5 20 3" xfId="1885" xr:uid="{00000000-0005-0000-0000-0000F8060000}"/>
    <cellStyle name="Input 2 5 20 4" xfId="1886" xr:uid="{00000000-0005-0000-0000-0000F9060000}"/>
    <cellStyle name="Input 2 5 21" xfId="1887" xr:uid="{00000000-0005-0000-0000-0000FA060000}"/>
    <cellStyle name="Input 2 5 21 2" xfId="1888" xr:uid="{00000000-0005-0000-0000-0000FB060000}"/>
    <cellStyle name="Input 2 5 21 3" xfId="1889" xr:uid="{00000000-0005-0000-0000-0000FC060000}"/>
    <cellStyle name="Input 2 5 21 4" xfId="1890" xr:uid="{00000000-0005-0000-0000-0000FD060000}"/>
    <cellStyle name="Input 2 5 22" xfId="1891" xr:uid="{00000000-0005-0000-0000-0000FE060000}"/>
    <cellStyle name="Input 2 5 22 2" xfId="1892" xr:uid="{00000000-0005-0000-0000-0000FF060000}"/>
    <cellStyle name="Input 2 5 22 3" xfId="1893" xr:uid="{00000000-0005-0000-0000-000000070000}"/>
    <cellStyle name="Input 2 5 22 4" xfId="1894" xr:uid="{00000000-0005-0000-0000-000001070000}"/>
    <cellStyle name="Input 2 5 23" xfId="1895" xr:uid="{00000000-0005-0000-0000-000002070000}"/>
    <cellStyle name="Input 2 5 3" xfId="1896" xr:uid="{00000000-0005-0000-0000-000003070000}"/>
    <cellStyle name="Input 2 5 3 2" xfId="1897" xr:uid="{00000000-0005-0000-0000-000004070000}"/>
    <cellStyle name="Input 2 5 3 3" xfId="1898" xr:uid="{00000000-0005-0000-0000-000005070000}"/>
    <cellStyle name="Input 2 5 3 4" xfId="1899" xr:uid="{00000000-0005-0000-0000-000006070000}"/>
    <cellStyle name="Input 2 5 3 5" xfId="1900" xr:uid="{00000000-0005-0000-0000-000007070000}"/>
    <cellStyle name="Input 2 5 4" xfId="1901" xr:uid="{00000000-0005-0000-0000-000008070000}"/>
    <cellStyle name="Input 2 5 4 2" xfId="1902" xr:uid="{00000000-0005-0000-0000-000009070000}"/>
    <cellStyle name="Input 2 5 4 3" xfId="1903" xr:uid="{00000000-0005-0000-0000-00000A070000}"/>
    <cellStyle name="Input 2 5 4 4" xfId="1904" xr:uid="{00000000-0005-0000-0000-00000B070000}"/>
    <cellStyle name="Input 2 5 4 5" xfId="1905" xr:uid="{00000000-0005-0000-0000-00000C070000}"/>
    <cellStyle name="Input 2 5 5" xfId="1906" xr:uid="{00000000-0005-0000-0000-00000D070000}"/>
    <cellStyle name="Input 2 5 5 2" xfId="1907" xr:uid="{00000000-0005-0000-0000-00000E070000}"/>
    <cellStyle name="Input 2 5 5 3" xfId="1908" xr:uid="{00000000-0005-0000-0000-00000F070000}"/>
    <cellStyle name="Input 2 5 5 4" xfId="1909" xr:uid="{00000000-0005-0000-0000-000010070000}"/>
    <cellStyle name="Input 2 5 5 5" xfId="1910" xr:uid="{00000000-0005-0000-0000-000011070000}"/>
    <cellStyle name="Input 2 5 6" xfId="1911" xr:uid="{00000000-0005-0000-0000-000012070000}"/>
    <cellStyle name="Input 2 5 6 2" xfId="1912" xr:uid="{00000000-0005-0000-0000-000013070000}"/>
    <cellStyle name="Input 2 5 6 3" xfId="1913" xr:uid="{00000000-0005-0000-0000-000014070000}"/>
    <cellStyle name="Input 2 5 6 4" xfId="1914" xr:uid="{00000000-0005-0000-0000-000015070000}"/>
    <cellStyle name="Input 2 5 6 5" xfId="1915" xr:uid="{00000000-0005-0000-0000-000016070000}"/>
    <cellStyle name="Input 2 5 7" xfId="1916" xr:uid="{00000000-0005-0000-0000-000017070000}"/>
    <cellStyle name="Input 2 5 7 2" xfId="1917" xr:uid="{00000000-0005-0000-0000-000018070000}"/>
    <cellStyle name="Input 2 5 7 3" xfId="1918" xr:uid="{00000000-0005-0000-0000-000019070000}"/>
    <cellStyle name="Input 2 5 7 4" xfId="1919" xr:uid="{00000000-0005-0000-0000-00001A070000}"/>
    <cellStyle name="Input 2 5 7 5" xfId="1920" xr:uid="{00000000-0005-0000-0000-00001B070000}"/>
    <cellStyle name="Input 2 5 8" xfId="1921" xr:uid="{00000000-0005-0000-0000-00001C070000}"/>
    <cellStyle name="Input 2 5 8 2" xfId="1922" xr:uid="{00000000-0005-0000-0000-00001D070000}"/>
    <cellStyle name="Input 2 5 8 3" xfId="1923" xr:uid="{00000000-0005-0000-0000-00001E070000}"/>
    <cellStyle name="Input 2 5 8 4" xfId="1924" xr:uid="{00000000-0005-0000-0000-00001F070000}"/>
    <cellStyle name="Input 2 5 8 5" xfId="1925" xr:uid="{00000000-0005-0000-0000-000020070000}"/>
    <cellStyle name="Input 2 5 9" xfId="1926" xr:uid="{00000000-0005-0000-0000-000021070000}"/>
    <cellStyle name="Input 2 5 9 2" xfId="1927" xr:uid="{00000000-0005-0000-0000-000022070000}"/>
    <cellStyle name="Input 2 5 9 3" xfId="1928" xr:uid="{00000000-0005-0000-0000-000023070000}"/>
    <cellStyle name="Input 2 5 9 4" xfId="1929" xr:uid="{00000000-0005-0000-0000-000024070000}"/>
    <cellStyle name="Input 2 5 9 5" xfId="1930" xr:uid="{00000000-0005-0000-0000-000025070000}"/>
    <cellStyle name="Input 2 6" xfId="1931" xr:uid="{00000000-0005-0000-0000-000026070000}"/>
    <cellStyle name="Input 2 6 10" xfId="1932" xr:uid="{00000000-0005-0000-0000-000027070000}"/>
    <cellStyle name="Input 2 6 10 2" xfId="1933" xr:uid="{00000000-0005-0000-0000-000028070000}"/>
    <cellStyle name="Input 2 6 10 3" xfId="1934" xr:uid="{00000000-0005-0000-0000-000029070000}"/>
    <cellStyle name="Input 2 6 10 4" xfId="1935" xr:uid="{00000000-0005-0000-0000-00002A070000}"/>
    <cellStyle name="Input 2 6 10 5" xfId="1936" xr:uid="{00000000-0005-0000-0000-00002B070000}"/>
    <cellStyle name="Input 2 6 11" xfId="1937" xr:uid="{00000000-0005-0000-0000-00002C070000}"/>
    <cellStyle name="Input 2 6 11 2" xfId="1938" xr:uid="{00000000-0005-0000-0000-00002D070000}"/>
    <cellStyle name="Input 2 6 11 3" xfId="1939" xr:uid="{00000000-0005-0000-0000-00002E070000}"/>
    <cellStyle name="Input 2 6 11 4" xfId="1940" xr:uid="{00000000-0005-0000-0000-00002F070000}"/>
    <cellStyle name="Input 2 6 11 5" xfId="1941" xr:uid="{00000000-0005-0000-0000-000030070000}"/>
    <cellStyle name="Input 2 6 12" xfId="1942" xr:uid="{00000000-0005-0000-0000-000031070000}"/>
    <cellStyle name="Input 2 6 12 2" xfId="1943" xr:uid="{00000000-0005-0000-0000-000032070000}"/>
    <cellStyle name="Input 2 6 12 3" xfId="1944" xr:uid="{00000000-0005-0000-0000-000033070000}"/>
    <cellStyle name="Input 2 6 12 4" xfId="1945" xr:uid="{00000000-0005-0000-0000-000034070000}"/>
    <cellStyle name="Input 2 6 12 5" xfId="1946" xr:uid="{00000000-0005-0000-0000-000035070000}"/>
    <cellStyle name="Input 2 6 13" xfId="1947" xr:uid="{00000000-0005-0000-0000-000036070000}"/>
    <cellStyle name="Input 2 6 13 2" xfId="1948" xr:uid="{00000000-0005-0000-0000-000037070000}"/>
    <cellStyle name="Input 2 6 13 3" xfId="1949" xr:uid="{00000000-0005-0000-0000-000038070000}"/>
    <cellStyle name="Input 2 6 13 4" xfId="1950" xr:uid="{00000000-0005-0000-0000-000039070000}"/>
    <cellStyle name="Input 2 6 13 5" xfId="1951" xr:uid="{00000000-0005-0000-0000-00003A070000}"/>
    <cellStyle name="Input 2 6 14" xfId="1952" xr:uid="{00000000-0005-0000-0000-00003B070000}"/>
    <cellStyle name="Input 2 6 14 2" xfId="1953" xr:uid="{00000000-0005-0000-0000-00003C070000}"/>
    <cellStyle name="Input 2 6 14 3" xfId="1954" xr:uid="{00000000-0005-0000-0000-00003D070000}"/>
    <cellStyle name="Input 2 6 14 4" xfId="1955" xr:uid="{00000000-0005-0000-0000-00003E070000}"/>
    <cellStyle name="Input 2 6 14 5" xfId="1956" xr:uid="{00000000-0005-0000-0000-00003F070000}"/>
    <cellStyle name="Input 2 6 15" xfId="1957" xr:uid="{00000000-0005-0000-0000-000040070000}"/>
    <cellStyle name="Input 2 6 15 2" xfId="1958" xr:uid="{00000000-0005-0000-0000-000041070000}"/>
    <cellStyle name="Input 2 6 15 3" xfId="1959" xr:uid="{00000000-0005-0000-0000-000042070000}"/>
    <cellStyle name="Input 2 6 15 4" xfId="1960" xr:uid="{00000000-0005-0000-0000-000043070000}"/>
    <cellStyle name="Input 2 6 15 5" xfId="1961" xr:uid="{00000000-0005-0000-0000-000044070000}"/>
    <cellStyle name="Input 2 6 16" xfId="1962" xr:uid="{00000000-0005-0000-0000-000045070000}"/>
    <cellStyle name="Input 2 6 16 2" xfId="1963" xr:uid="{00000000-0005-0000-0000-000046070000}"/>
    <cellStyle name="Input 2 6 16 3" xfId="1964" xr:uid="{00000000-0005-0000-0000-000047070000}"/>
    <cellStyle name="Input 2 6 16 4" xfId="1965" xr:uid="{00000000-0005-0000-0000-000048070000}"/>
    <cellStyle name="Input 2 6 16 5" xfId="1966" xr:uid="{00000000-0005-0000-0000-000049070000}"/>
    <cellStyle name="Input 2 6 17" xfId="1967" xr:uid="{00000000-0005-0000-0000-00004A070000}"/>
    <cellStyle name="Input 2 6 17 2" xfId="1968" xr:uid="{00000000-0005-0000-0000-00004B070000}"/>
    <cellStyle name="Input 2 6 17 3" xfId="1969" xr:uid="{00000000-0005-0000-0000-00004C070000}"/>
    <cellStyle name="Input 2 6 17 4" xfId="1970" xr:uid="{00000000-0005-0000-0000-00004D070000}"/>
    <cellStyle name="Input 2 6 17 5" xfId="1971" xr:uid="{00000000-0005-0000-0000-00004E070000}"/>
    <cellStyle name="Input 2 6 18" xfId="1972" xr:uid="{00000000-0005-0000-0000-00004F070000}"/>
    <cellStyle name="Input 2 6 18 2" xfId="1973" xr:uid="{00000000-0005-0000-0000-000050070000}"/>
    <cellStyle name="Input 2 6 18 3" xfId="1974" xr:uid="{00000000-0005-0000-0000-000051070000}"/>
    <cellStyle name="Input 2 6 18 4" xfId="1975" xr:uid="{00000000-0005-0000-0000-000052070000}"/>
    <cellStyle name="Input 2 6 18 5" xfId="1976" xr:uid="{00000000-0005-0000-0000-000053070000}"/>
    <cellStyle name="Input 2 6 19" xfId="1977" xr:uid="{00000000-0005-0000-0000-000054070000}"/>
    <cellStyle name="Input 2 6 19 2" xfId="1978" xr:uid="{00000000-0005-0000-0000-000055070000}"/>
    <cellStyle name="Input 2 6 19 3" xfId="1979" xr:uid="{00000000-0005-0000-0000-000056070000}"/>
    <cellStyle name="Input 2 6 19 4" xfId="1980" xr:uid="{00000000-0005-0000-0000-000057070000}"/>
    <cellStyle name="Input 2 6 19 5" xfId="1981" xr:uid="{00000000-0005-0000-0000-000058070000}"/>
    <cellStyle name="Input 2 6 2" xfId="1982" xr:uid="{00000000-0005-0000-0000-000059070000}"/>
    <cellStyle name="Input 2 6 2 2" xfId="1983" xr:uid="{00000000-0005-0000-0000-00005A070000}"/>
    <cellStyle name="Input 2 6 2 3" xfId="1984" xr:uid="{00000000-0005-0000-0000-00005B070000}"/>
    <cellStyle name="Input 2 6 2 4" xfId="1985" xr:uid="{00000000-0005-0000-0000-00005C070000}"/>
    <cellStyle name="Input 2 6 2 5" xfId="1986" xr:uid="{00000000-0005-0000-0000-00005D070000}"/>
    <cellStyle name="Input 2 6 20" xfId="1987" xr:uid="{00000000-0005-0000-0000-00005E070000}"/>
    <cellStyle name="Input 2 6 20 2" xfId="1988" xr:uid="{00000000-0005-0000-0000-00005F070000}"/>
    <cellStyle name="Input 2 6 20 3" xfId="1989" xr:uid="{00000000-0005-0000-0000-000060070000}"/>
    <cellStyle name="Input 2 6 20 4" xfId="1990" xr:uid="{00000000-0005-0000-0000-000061070000}"/>
    <cellStyle name="Input 2 6 20 5" xfId="1991" xr:uid="{00000000-0005-0000-0000-000062070000}"/>
    <cellStyle name="Input 2 6 21" xfId="1992" xr:uid="{00000000-0005-0000-0000-000063070000}"/>
    <cellStyle name="Input 2 6 21 2" xfId="1993" xr:uid="{00000000-0005-0000-0000-000064070000}"/>
    <cellStyle name="Input 2 6 21 3" xfId="1994" xr:uid="{00000000-0005-0000-0000-000065070000}"/>
    <cellStyle name="Input 2 6 21 4" xfId="1995" xr:uid="{00000000-0005-0000-0000-000066070000}"/>
    <cellStyle name="Input 2 6 21 5" xfId="1996" xr:uid="{00000000-0005-0000-0000-000067070000}"/>
    <cellStyle name="Input 2 6 22" xfId="1997" xr:uid="{00000000-0005-0000-0000-000068070000}"/>
    <cellStyle name="Input 2 6 22 2" xfId="1998" xr:uid="{00000000-0005-0000-0000-000069070000}"/>
    <cellStyle name="Input 2 6 22 3" xfId="1999" xr:uid="{00000000-0005-0000-0000-00006A070000}"/>
    <cellStyle name="Input 2 6 22 4" xfId="2000" xr:uid="{00000000-0005-0000-0000-00006B070000}"/>
    <cellStyle name="Input 2 6 23" xfId="2001" xr:uid="{00000000-0005-0000-0000-00006C070000}"/>
    <cellStyle name="Input 2 6 23 2" xfId="2002" xr:uid="{00000000-0005-0000-0000-00006D070000}"/>
    <cellStyle name="Input 2 6 23 3" xfId="2003" xr:uid="{00000000-0005-0000-0000-00006E070000}"/>
    <cellStyle name="Input 2 6 23 4" xfId="2004" xr:uid="{00000000-0005-0000-0000-00006F070000}"/>
    <cellStyle name="Input 2 6 24" xfId="2005" xr:uid="{00000000-0005-0000-0000-000070070000}"/>
    <cellStyle name="Input 2 6 24 2" xfId="2006" xr:uid="{00000000-0005-0000-0000-000071070000}"/>
    <cellStyle name="Input 2 6 24 3" xfId="2007" xr:uid="{00000000-0005-0000-0000-000072070000}"/>
    <cellStyle name="Input 2 6 24 4" xfId="2008" xr:uid="{00000000-0005-0000-0000-000073070000}"/>
    <cellStyle name="Input 2 6 25" xfId="2009" xr:uid="{00000000-0005-0000-0000-000074070000}"/>
    <cellStyle name="Input 2 6 25 2" xfId="2010" xr:uid="{00000000-0005-0000-0000-000075070000}"/>
    <cellStyle name="Input 2 6 25 3" xfId="2011" xr:uid="{00000000-0005-0000-0000-000076070000}"/>
    <cellStyle name="Input 2 6 25 4" xfId="2012" xr:uid="{00000000-0005-0000-0000-000077070000}"/>
    <cellStyle name="Input 2 6 3" xfId="2013" xr:uid="{00000000-0005-0000-0000-000078070000}"/>
    <cellStyle name="Input 2 6 3 2" xfId="2014" xr:uid="{00000000-0005-0000-0000-000079070000}"/>
    <cellStyle name="Input 2 6 3 3" xfId="2015" xr:uid="{00000000-0005-0000-0000-00007A070000}"/>
    <cellStyle name="Input 2 6 3 4" xfId="2016" xr:uid="{00000000-0005-0000-0000-00007B070000}"/>
    <cellStyle name="Input 2 6 3 5" xfId="2017" xr:uid="{00000000-0005-0000-0000-00007C070000}"/>
    <cellStyle name="Input 2 6 4" xfId="2018" xr:uid="{00000000-0005-0000-0000-00007D070000}"/>
    <cellStyle name="Input 2 6 4 2" xfId="2019" xr:uid="{00000000-0005-0000-0000-00007E070000}"/>
    <cellStyle name="Input 2 6 4 3" xfId="2020" xr:uid="{00000000-0005-0000-0000-00007F070000}"/>
    <cellStyle name="Input 2 6 4 4" xfId="2021" xr:uid="{00000000-0005-0000-0000-000080070000}"/>
    <cellStyle name="Input 2 6 4 5" xfId="2022" xr:uid="{00000000-0005-0000-0000-000081070000}"/>
    <cellStyle name="Input 2 6 5" xfId="2023" xr:uid="{00000000-0005-0000-0000-000082070000}"/>
    <cellStyle name="Input 2 6 5 2" xfId="2024" xr:uid="{00000000-0005-0000-0000-000083070000}"/>
    <cellStyle name="Input 2 6 5 3" xfId="2025" xr:uid="{00000000-0005-0000-0000-000084070000}"/>
    <cellStyle name="Input 2 6 5 4" xfId="2026" xr:uid="{00000000-0005-0000-0000-000085070000}"/>
    <cellStyle name="Input 2 6 5 5" xfId="2027" xr:uid="{00000000-0005-0000-0000-000086070000}"/>
    <cellStyle name="Input 2 6 6" xfId="2028" xr:uid="{00000000-0005-0000-0000-000087070000}"/>
    <cellStyle name="Input 2 6 6 2" xfId="2029" xr:uid="{00000000-0005-0000-0000-000088070000}"/>
    <cellStyle name="Input 2 6 6 3" xfId="2030" xr:uid="{00000000-0005-0000-0000-000089070000}"/>
    <cellStyle name="Input 2 6 6 4" xfId="2031" xr:uid="{00000000-0005-0000-0000-00008A070000}"/>
    <cellStyle name="Input 2 6 6 5" xfId="2032" xr:uid="{00000000-0005-0000-0000-00008B070000}"/>
    <cellStyle name="Input 2 6 7" xfId="2033" xr:uid="{00000000-0005-0000-0000-00008C070000}"/>
    <cellStyle name="Input 2 6 7 2" xfId="2034" xr:uid="{00000000-0005-0000-0000-00008D070000}"/>
    <cellStyle name="Input 2 6 7 3" xfId="2035" xr:uid="{00000000-0005-0000-0000-00008E070000}"/>
    <cellStyle name="Input 2 6 7 4" xfId="2036" xr:uid="{00000000-0005-0000-0000-00008F070000}"/>
    <cellStyle name="Input 2 6 7 5" xfId="2037" xr:uid="{00000000-0005-0000-0000-000090070000}"/>
    <cellStyle name="Input 2 6 8" xfId="2038" xr:uid="{00000000-0005-0000-0000-000091070000}"/>
    <cellStyle name="Input 2 6 8 2" xfId="2039" xr:uid="{00000000-0005-0000-0000-000092070000}"/>
    <cellStyle name="Input 2 6 8 3" xfId="2040" xr:uid="{00000000-0005-0000-0000-000093070000}"/>
    <cellStyle name="Input 2 6 8 4" xfId="2041" xr:uid="{00000000-0005-0000-0000-000094070000}"/>
    <cellStyle name="Input 2 6 8 5" xfId="2042" xr:uid="{00000000-0005-0000-0000-000095070000}"/>
    <cellStyle name="Input 2 6 9" xfId="2043" xr:uid="{00000000-0005-0000-0000-000096070000}"/>
    <cellStyle name="Input 2 6 9 2" xfId="2044" xr:uid="{00000000-0005-0000-0000-000097070000}"/>
    <cellStyle name="Input 2 6 9 3" xfId="2045" xr:uid="{00000000-0005-0000-0000-000098070000}"/>
    <cellStyle name="Input 2 6 9 4" xfId="2046" xr:uid="{00000000-0005-0000-0000-000099070000}"/>
    <cellStyle name="Input 2 6 9 5" xfId="2047" xr:uid="{00000000-0005-0000-0000-00009A070000}"/>
    <cellStyle name="Input 2 7" xfId="2048" xr:uid="{00000000-0005-0000-0000-00009B070000}"/>
    <cellStyle name="Input 2 7 2" xfId="2049" xr:uid="{00000000-0005-0000-0000-00009C070000}"/>
    <cellStyle name="Input 2 7 3" xfId="2050" xr:uid="{00000000-0005-0000-0000-00009D070000}"/>
    <cellStyle name="Input 2 7 4" xfId="2051" xr:uid="{00000000-0005-0000-0000-00009E070000}"/>
    <cellStyle name="Input 2 7 5" xfId="2052" xr:uid="{00000000-0005-0000-0000-00009F070000}"/>
    <cellStyle name="Input 2 8" xfId="2053" xr:uid="{00000000-0005-0000-0000-0000A0070000}"/>
    <cellStyle name="Input 2 8 2" xfId="2054" xr:uid="{00000000-0005-0000-0000-0000A1070000}"/>
    <cellStyle name="Input 2 8 3" xfId="2055" xr:uid="{00000000-0005-0000-0000-0000A2070000}"/>
    <cellStyle name="Input 2 8 4" xfId="2056" xr:uid="{00000000-0005-0000-0000-0000A3070000}"/>
    <cellStyle name="Input 2 8 5" xfId="2057" xr:uid="{00000000-0005-0000-0000-0000A4070000}"/>
    <cellStyle name="Input 2 9" xfId="2058" xr:uid="{00000000-0005-0000-0000-0000A5070000}"/>
    <cellStyle name="Input 2 9 2" xfId="2059" xr:uid="{00000000-0005-0000-0000-0000A6070000}"/>
    <cellStyle name="Input 2 9 3" xfId="2060" xr:uid="{00000000-0005-0000-0000-0000A7070000}"/>
    <cellStyle name="Input 2 9 4" xfId="2061" xr:uid="{00000000-0005-0000-0000-0000A8070000}"/>
    <cellStyle name="Input 2 9 5" xfId="2062" xr:uid="{00000000-0005-0000-0000-0000A9070000}"/>
    <cellStyle name="LEAName" xfId="83" xr:uid="{00000000-0005-0000-0000-0000AA070000}"/>
    <cellStyle name="LEAName 2" xfId="2063" xr:uid="{00000000-0005-0000-0000-0000AB070000}"/>
    <cellStyle name="LEANumber" xfId="84" xr:uid="{00000000-0005-0000-0000-0000AC070000}"/>
    <cellStyle name="LEANumber 2" xfId="2064" xr:uid="{00000000-0005-0000-0000-0000AD070000}"/>
    <cellStyle name="Linked Cell 2" xfId="85" xr:uid="{00000000-0005-0000-0000-0000AE070000}"/>
    <cellStyle name="Linked Cell 2 2" xfId="2065" xr:uid="{00000000-0005-0000-0000-0000AF070000}"/>
    <cellStyle name="log projection" xfId="86" xr:uid="{00000000-0005-0000-0000-0000B0070000}"/>
    <cellStyle name="Neutral 2" xfId="87" xr:uid="{00000000-0005-0000-0000-0000B1070000}"/>
    <cellStyle name="Neutral 2 2" xfId="2066" xr:uid="{00000000-0005-0000-0000-0000B2070000}"/>
    <cellStyle name="Neutral 3" xfId="3969" xr:uid="{99151CE0-5588-41B3-9A88-B31386AAA186}"/>
    <cellStyle name="Normal" xfId="0" builtinId="0"/>
    <cellStyle name="Normal - Style1" xfId="88" xr:uid="{00000000-0005-0000-0000-0000B4070000}"/>
    <cellStyle name="Normal - Style2" xfId="89" xr:uid="{00000000-0005-0000-0000-0000B5070000}"/>
    <cellStyle name="Normal - Style3" xfId="90" xr:uid="{00000000-0005-0000-0000-0000B6070000}"/>
    <cellStyle name="Normal - Style4" xfId="91" xr:uid="{00000000-0005-0000-0000-0000B7070000}"/>
    <cellStyle name="Normal - Style5" xfId="92" xr:uid="{00000000-0005-0000-0000-0000B8070000}"/>
    <cellStyle name="Normal 10" xfId="93" xr:uid="{00000000-0005-0000-0000-0000B9070000}"/>
    <cellStyle name="Normal 10 2" xfId="94" xr:uid="{00000000-0005-0000-0000-0000BA070000}"/>
    <cellStyle name="Normal 10 2 2" xfId="2067" xr:uid="{00000000-0005-0000-0000-0000BB070000}"/>
    <cellStyle name="Normal 10 2 2 2" xfId="2068" xr:uid="{00000000-0005-0000-0000-0000BC070000}"/>
    <cellStyle name="Normal 10 3" xfId="2069" xr:uid="{00000000-0005-0000-0000-0000BD070000}"/>
    <cellStyle name="Normal 10 3 2" xfId="2070" xr:uid="{00000000-0005-0000-0000-0000BE070000}"/>
    <cellStyle name="Normal 10 4" xfId="2071" xr:uid="{00000000-0005-0000-0000-0000BF070000}"/>
    <cellStyle name="Normal 10 4 2" xfId="2072" xr:uid="{00000000-0005-0000-0000-0000C0070000}"/>
    <cellStyle name="Normal 10 4 2 2" xfId="2073" xr:uid="{00000000-0005-0000-0000-0000C1070000}"/>
    <cellStyle name="Normal 10 4 3" xfId="2074" xr:uid="{00000000-0005-0000-0000-0000C2070000}"/>
    <cellStyle name="Normal 10 5" xfId="2075" xr:uid="{00000000-0005-0000-0000-0000C3070000}"/>
    <cellStyle name="Normal 10 6" xfId="2076" xr:uid="{00000000-0005-0000-0000-0000C4070000}"/>
    <cellStyle name="Normal 11" xfId="95" xr:uid="{00000000-0005-0000-0000-0000C5070000}"/>
    <cellStyle name="Normal 11 2" xfId="2077" xr:uid="{00000000-0005-0000-0000-0000C6070000}"/>
    <cellStyle name="Normal 11 2 10" xfId="201" xr:uid="{00000000-0005-0000-0000-0000C7070000}"/>
    <cellStyle name="Normal 11 2 2" xfId="3919" xr:uid="{00000000-0005-0000-0000-0000C8070000}"/>
    <cellStyle name="Normal 11 3" xfId="208" xr:uid="{00000000-0005-0000-0000-0000C9070000}"/>
    <cellStyle name="Normal 11 4" xfId="2078" xr:uid="{00000000-0005-0000-0000-0000CA070000}"/>
    <cellStyle name="Normal 12" xfId="96" xr:uid="{00000000-0005-0000-0000-0000CB070000}"/>
    <cellStyle name="Normal 12 2" xfId="97" xr:uid="{00000000-0005-0000-0000-0000CC070000}"/>
    <cellStyle name="Normal 12 2 2" xfId="2079" xr:uid="{00000000-0005-0000-0000-0000CD070000}"/>
    <cellStyle name="Normal 12 3" xfId="2080" xr:uid="{00000000-0005-0000-0000-0000CE070000}"/>
    <cellStyle name="Normal 12 3 2" xfId="2081" xr:uid="{00000000-0005-0000-0000-0000CF070000}"/>
    <cellStyle name="Normal 12 4" xfId="2082" xr:uid="{00000000-0005-0000-0000-0000D0070000}"/>
    <cellStyle name="Normal 12 5" xfId="2083" xr:uid="{00000000-0005-0000-0000-0000D1070000}"/>
    <cellStyle name="Normal 13" xfId="98" xr:uid="{00000000-0005-0000-0000-0000D2070000}"/>
    <cellStyle name="Normal 13 2" xfId="2084" xr:uid="{00000000-0005-0000-0000-0000D3070000}"/>
    <cellStyle name="Normal 13 3" xfId="2085" xr:uid="{00000000-0005-0000-0000-0000D4070000}"/>
    <cellStyle name="Normal 13 4" xfId="2086" xr:uid="{00000000-0005-0000-0000-0000D5070000}"/>
    <cellStyle name="Normal 14" xfId="99" xr:uid="{00000000-0005-0000-0000-0000D6070000}"/>
    <cellStyle name="Normal 14 2" xfId="100" xr:uid="{00000000-0005-0000-0000-0000D7070000}"/>
    <cellStyle name="Normal 14 2 2" xfId="2087" xr:uid="{00000000-0005-0000-0000-0000D8070000}"/>
    <cellStyle name="Normal 14 3" xfId="202" xr:uid="{00000000-0005-0000-0000-0000D9070000}"/>
    <cellStyle name="Normal 14 4" xfId="2088" xr:uid="{00000000-0005-0000-0000-0000DA070000}"/>
    <cellStyle name="Normal 15" xfId="101" xr:uid="{00000000-0005-0000-0000-0000DB070000}"/>
    <cellStyle name="Normal 15 2" xfId="2089" xr:uid="{00000000-0005-0000-0000-0000DC070000}"/>
    <cellStyle name="Normal 16" xfId="102" xr:uid="{00000000-0005-0000-0000-0000DD070000}"/>
    <cellStyle name="Normal 16 2" xfId="2090" xr:uid="{00000000-0005-0000-0000-0000DE070000}"/>
    <cellStyle name="Normal 16 3" xfId="2091" xr:uid="{00000000-0005-0000-0000-0000DF070000}"/>
    <cellStyle name="Normal 17" xfId="103" xr:uid="{00000000-0005-0000-0000-0000E0070000}"/>
    <cellStyle name="Normal 17 2" xfId="2092" xr:uid="{00000000-0005-0000-0000-0000E1070000}"/>
    <cellStyle name="Normal 17 3" xfId="2093" xr:uid="{00000000-0005-0000-0000-0000E2070000}"/>
    <cellStyle name="Normal 18" xfId="104" xr:uid="{00000000-0005-0000-0000-0000E3070000}"/>
    <cellStyle name="Normal 18 2" xfId="2094" xr:uid="{00000000-0005-0000-0000-0000E4070000}"/>
    <cellStyle name="Normal 18 3" xfId="2095" xr:uid="{00000000-0005-0000-0000-0000E5070000}"/>
    <cellStyle name="Normal 19" xfId="184" xr:uid="{00000000-0005-0000-0000-0000E6070000}"/>
    <cellStyle name="Normal 19 2" xfId="2096" xr:uid="{00000000-0005-0000-0000-0000E7070000}"/>
    <cellStyle name="Normal 19 3" xfId="2097" xr:uid="{00000000-0005-0000-0000-0000E8070000}"/>
    <cellStyle name="Normal 19 4" xfId="2098" xr:uid="{00000000-0005-0000-0000-0000E9070000}"/>
    <cellStyle name="Normal 2" xfId="105" xr:uid="{00000000-0005-0000-0000-0000EA070000}"/>
    <cellStyle name="Normal 2 10" xfId="2099" xr:uid="{00000000-0005-0000-0000-0000EB070000}"/>
    <cellStyle name="Normal 2 11" xfId="2100" xr:uid="{00000000-0005-0000-0000-0000EC070000}"/>
    <cellStyle name="Normal 2 12" xfId="2101" xr:uid="{00000000-0005-0000-0000-0000ED070000}"/>
    <cellStyle name="Normal 2 13" xfId="2102" xr:uid="{00000000-0005-0000-0000-0000EE070000}"/>
    <cellStyle name="Normal 2 14" xfId="2103" xr:uid="{00000000-0005-0000-0000-0000EF070000}"/>
    <cellStyle name="Normal 2 14 2" xfId="2104" xr:uid="{00000000-0005-0000-0000-0000F0070000}"/>
    <cellStyle name="Normal 2 15" xfId="2105" xr:uid="{00000000-0005-0000-0000-0000F1070000}"/>
    <cellStyle name="Normal 2 16" xfId="2106" xr:uid="{00000000-0005-0000-0000-0000F2070000}"/>
    <cellStyle name="Normal 2 17" xfId="2107" xr:uid="{00000000-0005-0000-0000-0000F3070000}"/>
    <cellStyle name="Normal 2 18" xfId="2108" xr:uid="{00000000-0005-0000-0000-0000F4070000}"/>
    <cellStyle name="Normal 2 19" xfId="2109" xr:uid="{00000000-0005-0000-0000-0000F5070000}"/>
    <cellStyle name="Normal 2 2" xfId="106" xr:uid="{00000000-0005-0000-0000-0000F6070000}"/>
    <cellStyle name="Normal 2 2 10" xfId="2110" xr:uid="{00000000-0005-0000-0000-0000F7070000}"/>
    <cellStyle name="Normal 2 2 10 2" xfId="2111" xr:uid="{00000000-0005-0000-0000-0000F8070000}"/>
    <cellStyle name="Normal 2 2 11" xfId="2112" xr:uid="{00000000-0005-0000-0000-0000F9070000}"/>
    <cellStyle name="Normal 2 2 11 2" xfId="2113" xr:uid="{00000000-0005-0000-0000-0000FA070000}"/>
    <cellStyle name="Normal 2 2 12" xfId="2114" xr:uid="{00000000-0005-0000-0000-0000FB070000}"/>
    <cellStyle name="Normal 2 2 13" xfId="2115" xr:uid="{00000000-0005-0000-0000-0000FC070000}"/>
    <cellStyle name="Normal 2 2 2" xfId="107" xr:uid="{00000000-0005-0000-0000-0000FD070000}"/>
    <cellStyle name="Normal 2 2 2 2" xfId="2116" xr:uid="{00000000-0005-0000-0000-0000FE070000}"/>
    <cellStyle name="Normal 2 2 2 2 2" xfId="2117" xr:uid="{00000000-0005-0000-0000-0000FF070000}"/>
    <cellStyle name="Normal 2 2 2 2 3" xfId="2118" xr:uid="{00000000-0005-0000-0000-000000080000}"/>
    <cellStyle name="Normal 2 2 2 2 4" xfId="3944" xr:uid="{00000000-0005-0000-0000-000001080000}"/>
    <cellStyle name="Normal 2 2 2 3" xfId="2119" xr:uid="{00000000-0005-0000-0000-000002080000}"/>
    <cellStyle name="Normal 2 2 2 3 2" xfId="2120" xr:uid="{00000000-0005-0000-0000-000003080000}"/>
    <cellStyle name="Normal 2 2 2 3 3" xfId="3929" xr:uid="{00000000-0005-0000-0000-000004080000}"/>
    <cellStyle name="Normal 2 2 2 4" xfId="2121" xr:uid="{00000000-0005-0000-0000-000005080000}"/>
    <cellStyle name="Normal 2 2 2 4 2" xfId="2122" xr:uid="{00000000-0005-0000-0000-000006080000}"/>
    <cellStyle name="Normal 2 2 2 5" xfId="2123" xr:uid="{00000000-0005-0000-0000-000007080000}"/>
    <cellStyle name="Normal 2 2 2 5 2" xfId="2124" xr:uid="{00000000-0005-0000-0000-000008080000}"/>
    <cellStyle name="Normal 2 2 2 6" xfId="2125" xr:uid="{00000000-0005-0000-0000-000009080000}"/>
    <cellStyle name="Normal 2 2 2 6 2" xfId="2126" xr:uid="{00000000-0005-0000-0000-00000A080000}"/>
    <cellStyle name="Normal 2 2 2 7" xfId="2127" xr:uid="{00000000-0005-0000-0000-00000B080000}"/>
    <cellStyle name="Normal 2 2 2 7 2" xfId="2128" xr:uid="{00000000-0005-0000-0000-00000C080000}"/>
    <cellStyle name="Normal 2 2 2 8" xfId="2129" xr:uid="{00000000-0005-0000-0000-00000D080000}"/>
    <cellStyle name="Normal 2 2 2 9" xfId="2130" xr:uid="{00000000-0005-0000-0000-00000E080000}"/>
    <cellStyle name="Normal 2 2 3" xfId="108" xr:uid="{00000000-0005-0000-0000-00000F080000}"/>
    <cellStyle name="Normal 2 2 3 2" xfId="2131" xr:uid="{00000000-0005-0000-0000-000010080000}"/>
    <cellStyle name="Normal 2 2 3 2 2" xfId="3945" xr:uid="{00000000-0005-0000-0000-000011080000}"/>
    <cellStyle name="Normal 2 2 3 3" xfId="2132" xr:uid="{00000000-0005-0000-0000-000012080000}"/>
    <cellStyle name="Normal 2 2 3 3 2" xfId="3930" xr:uid="{00000000-0005-0000-0000-000013080000}"/>
    <cellStyle name="Normal 2 2 4" xfId="2133" xr:uid="{00000000-0005-0000-0000-000014080000}"/>
    <cellStyle name="Normal 2 2 4 2" xfId="2134" xr:uid="{00000000-0005-0000-0000-000015080000}"/>
    <cellStyle name="Normal 2 2 4 3" xfId="3917" xr:uid="{00000000-0005-0000-0000-000016080000}"/>
    <cellStyle name="Normal 2 2 5" xfId="2135" xr:uid="{00000000-0005-0000-0000-000017080000}"/>
    <cellStyle name="Normal 2 2 5 2" xfId="2136" xr:uid="{00000000-0005-0000-0000-000018080000}"/>
    <cellStyle name="Normal 2 2 5 3" xfId="3943" xr:uid="{00000000-0005-0000-0000-000019080000}"/>
    <cellStyle name="Normal 2 2 6" xfId="2137" xr:uid="{00000000-0005-0000-0000-00001A080000}"/>
    <cellStyle name="Normal 2 2 6 2" xfId="2138" xr:uid="{00000000-0005-0000-0000-00001B080000}"/>
    <cellStyle name="Normal 2 2 6 3" xfId="3928" xr:uid="{00000000-0005-0000-0000-00001C080000}"/>
    <cellStyle name="Normal 2 2 7" xfId="2139" xr:uid="{00000000-0005-0000-0000-00001D080000}"/>
    <cellStyle name="Normal 2 2 7 2" xfId="2140" xr:uid="{00000000-0005-0000-0000-00001E080000}"/>
    <cellStyle name="Normal 2 2 8" xfId="2141" xr:uid="{00000000-0005-0000-0000-00001F080000}"/>
    <cellStyle name="Normal 2 2 8 2" xfId="2142" xr:uid="{00000000-0005-0000-0000-000020080000}"/>
    <cellStyle name="Normal 2 2 9" xfId="2143" xr:uid="{00000000-0005-0000-0000-000021080000}"/>
    <cellStyle name="Normal 2 2 9 2" xfId="2144" xr:uid="{00000000-0005-0000-0000-000022080000}"/>
    <cellStyle name="Normal 2 3" xfId="109" xr:uid="{00000000-0005-0000-0000-000023080000}"/>
    <cellStyle name="Normal 2 3 2" xfId="2145" xr:uid="{00000000-0005-0000-0000-000024080000}"/>
    <cellStyle name="Normal 2 3 2 2" xfId="3946" xr:uid="{00000000-0005-0000-0000-000025080000}"/>
    <cellStyle name="Normal 2 3 3" xfId="2146" xr:uid="{00000000-0005-0000-0000-000026080000}"/>
    <cellStyle name="Normal 2 3 3 2" xfId="3931" xr:uid="{00000000-0005-0000-0000-000027080000}"/>
    <cellStyle name="Normal 2 4" xfId="110" xr:uid="{00000000-0005-0000-0000-000028080000}"/>
    <cellStyle name="Normal 2 4 2" xfId="2147" xr:uid="{00000000-0005-0000-0000-000029080000}"/>
    <cellStyle name="Normal 2 5" xfId="111" xr:uid="{00000000-0005-0000-0000-00002A080000}"/>
    <cellStyle name="Normal 2 5 2" xfId="2148" xr:uid="{00000000-0005-0000-0000-00002B080000}"/>
    <cellStyle name="Normal 2 5 3" xfId="2149" xr:uid="{00000000-0005-0000-0000-00002C080000}"/>
    <cellStyle name="Normal 2 6" xfId="2150" xr:uid="{00000000-0005-0000-0000-00002D080000}"/>
    <cellStyle name="Normal 2 6 2" xfId="2151" xr:uid="{00000000-0005-0000-0000-00002E080000}"/>
    <cellStyle name="Normal 2 6 3" xfId="3942" xr:uid="{00000000-0005-0000-0000-00002F080000}"/>
    <cellStyle name="Normal 2 7" xfId="2152" xr:uid="{00000000-0005-0000-0000-000030080000}"/>
    <cellStyle name="Normal 2 7 2" xfId="2153" xr:uid="{00000000-0005-0000-0000-000031080000}"/>
    <cellStyle name="Normal 2 7 3" xfId="3920" xr:uid="{00000000-0005-0000-0000-000032080000}"/>
    <cellStyle name="Normal 2 8" xfId="2154" xr:uid="{00000000-0005-0000-0000-000033080000}"/>
    <cellStyle name="Normal 2 8 2" xfId="2155" xr:uid="{00000000-0005-0000-0000-000034080000}"/>
    <cellStyle name="Normal 2 9" xfId="112" xr:uid="{00000000-0005-0000-0000-000035080000}"/>
    <cellStyle name="Normal 2 9 2" xfId="2156" xr:uid="{00000000-0005-0000-0000-000036080000}"/>
    <cellStyle name="Normal 2_Acads List" xfId="113" xr:uid="{00000000-0005-0000-0000-000037080000}"/>
    <cellStyle name="Normal 20" xfId="203" xr:uid="{00000000-0005-0000-0000-000038080000}"/>
    <cellStyle name="Normal 20 2" xfId="2157" xr:uid="{00000000-0005-0000-0000-000039080000}"/>
    <cellStyle name="Normal 20 3" xfId="2158" xr:uid="{00000000-0005-0000-0000-00003A080000}"/>
    <cellStyle name="Normal 21" xfId="2159" xr:uid="{00000000-0005-0000-0000-00003B080000}"/>
    <cellStyle name="Normal 21 2" xfId="2160" xr:uid="{00000000-0005-0000-0000-00003C080000}"/>
    <cellStyle name="Normal 22" xfId="2161" xr:uid="{00000000-0005-0000-0000-00003D080000}"/>
    <cellStyle name="Normal 22 2" xfId="2162" xr:uid="{00000000-0005-0000-0000-00003E080000}"/>
    <cellStyle name="Normal 23" xfId="2163" xr:uid="{00000000-0005-0000-0000-00003F080000}"/>
    <cellStyle name="Normal 24" xfId="2164" xr:uid="{00000000-0005-0000-0000-000040080000}"/>
    <cellStyle name="Normal 25" xfId="2165" xr:uid="{00000000-0005-0000-0000-000041080000}"/>
    <cellStyle name="Normal 26" xfId="2166" xr:uid="{00000000-0005-0000-0000-000042080000}"/>
    <cellStyle name="Normal 27" xfId="2167" xr:uid="{00000000-0005-0000-0000-000043080000}"/>
    <cellStyle name="Normal 28" xfId="2168" xr:uid="{00000000-0005-0000-0000-000044080000}"/>
    <cellStyle name="Normal 29" xfId="2169" xr:uid="{00000000-0005-0000-0000-000045080000}"/>
    <cellStyle name="Normal 3" xfId="114" xr:uid="{00000000-0005-0000-0000-000046080000}"/>
    <cellStyle name="Normal 3 10" xfId="2170" xr:uid="{00000000-0005-0000-0000-000047080000}"/>
    <cellStyle name="Normal 3 11" xfId="2171" xr:uid="{00000000-0005-0000-0000-000048080000}"/>
    <cellStyle name="Normal 3 12" xfId="2172" xr:uid="{00000000-0005-0000-0000-000049080000}"/>
    <cellStyle name="Normal 3 13" xfId="2173" xr:uid="{00000000-0005-0000-0000-00004A080000}"/>
    <cellStyle name="Normal 3 13 2" xfId="2174" xr:uid="{00000000-0005-0000-0000-00004B080000}"/>
    <cellStyle name="Normal 3 14" xfId="2175" xr:uid="{00000000-0005-0000-0000-00004C080000}"/>
    <cellStyle name="Normal 3 2" xfId="115" xr:uid="{00000000-0005-0000-0000-00004D080000}"/>
    <cellStyle name="Normal 3 2 2" xfId="116" xr:uid="{00000000-0005-0000-0000-00004E080000}"/>
    <cellStyle name="Normal 3 2 2 2" xfId="2176" xr:uid="{00000000-0005-0000-0000-00004F080000}"/>
    <cellStyle name="Normal 3 2 3" xfId="2177" xr:uid="{00000000-0005-0000-0000-000050080000}"/>
    <cellStyle name="Normal 3 2 4" xfId="2178" xr:uid="{00000000-0005-0000-0000-000051080000}"/>
    <cellStyle name="Normal 3 2 5" xfId="2179" xr:uid="{00000000-0005-0000-0000-000052080000}"/>
    <cellStyle name="Normal 3 2 6" xfId="2180" xr:uid="{00000000-0005-0000-0000-000053080000}"/>
    <cellStyle name="Normal 3 2 7" xfId="2181" xr:uid="{00000000-0005-0000-0000-000054080000}"/>
    <cellStyle name="Normal 3 2 8" xfId="2182" xr:uid="{00000000-0005-0000-0000-000055080000}"/>
    <cellStyle name="Normal 3 2_Main Allocation Sheet" xfId="2183" xr:uid="{00000000-0005-0000-0000-000056080000}"/>
    <cellStyle name="Normal 3 3" xfId="117" xr:uid="{00000000-0005-0000-0000-000057080000}"/>
    <cellStyle name="Normal 3 3 2" xfId="2184" xr:uid="{00000000-0005-0000-0000-000058080000}"/>
    <cellStyle name="Normal 3 3 3" xfId="2185" xr:uid="{00000000-0005-0000-0000-000059080000}"/>
    <cellStyle name="Normal 3 4" xfId="118" xr:uid="{00000000-0005-0000-0000-00005A080000}"/>
    <cellStyle name="Normal 3 4 2" xfId="2186" xr:uid="{00000000-0005-0000-0000-00005B080000}"/>
    <cellStyle name="Normal 3 4 3" xfId="2187" xr:uid="{00000000-0005-0000-0000-00005C080000}"/>
    <cellStyle name="Normal 3 4 3 2 2" xfId="3972" xr:uid="{C6C539FD-2601-4A5A-BF5F-2D761F15B6D4}"/>
    <cellStyle name="Normal 3 5" xfId="2188" xr:uid="{00000000-0005-0000-0000-00005D080000}"/>
    <cellStyle name="Normal 3 5 2" xfId="2189" xr:uid="{00000000-0005-0000-0000-00005E080000}"/>
    <cellStyle name="Normal 3 5 3" xfId="3947" xr:uid="{00000000-0005-0000-0000-00005F080000}"/>
    <cellStyle name="Normal 3 6" xfId="2190" xr:uid="{00000000-0005-0000-0000-000060080000}"/>
    <cellStyle name="Normal 3 6 2" xfId="2191" xr:uid="{00000000-0005-0000-0000-000061080000}"/>
    <cellStyle name="Normal 3 7" xfId="2192" xr:uid="{00000000-0005-0000-0000-000062080000}"/>
    <cellStyle name="Normal 3 8" xfId="2193" xr:uid="{00000000-0005-0000-0000-000063080000}"/>
    <cellStyle name="Normal 3 9" xfId="2194" xr:uid="{00000000-0005-0000-0000-000064080000}"/>
    <cellStyle name="Normal 3_Colleges and Providers" xfId="2195" xr:uid="{00000000-0005-0000-0000-000065080000}"/>
    <cellStyle name="Normal 30" xfId="2196" xr:uid="{00000000-0005-0000-0000-000066080000}"/>
    <cellStyle name="Normal 31" xfId="2197" xr:uid="{00000000-0005-0000-0000-000067080000}"/>
    <cellStyle name="Normal 32" xfId="3954" xr:uid="{00000000-0005-0000-0000-000068080000}"/>
    <cellStyle name="Normal 33" xfId="2198" xr:uid="{00000000-0005-0000-0000-000069080000}"/>
    <cellStyle name="Normal 34" xfId="3971" xr:uid="{29569DA8-044C-4BD8-A441-7DEF3B1DEF36}"/>
    <cellStyle name="Normal 35" xfId="3958" xr:uid="{00000000-0005-0000-0000-00006A080000}"/>
    <cellStyle name="Normal 36" xfId="3973" xr:uid="{26E38277-1009-4A66-847D-5B85D9A1940F}"/>
    <cellStyle name="Normal 4" xfId="119" xr:uid="{00000000-0005-0000-0000-00006B080000}"/>
    <cellStyle name="Normal 4 10" xfId="2199" xr:uid="{00000000-0005-0000-0000-00006C080000}"/>
    <cellStyle name="Normal 4 10 2" xfId="2200" xr:uid="{00000000-0005-0000-0000-00006D080000}"/>
    <cellStyle name="Normal 4 11" xfId="2201" xr:uid="{00000000-0005-0000-0000-00006E080000}"/>
    <cellStyle name="Normal 4 2" xfId="120" xr:uid="{00000000-0005-0000-0000-00006F080000}"/>
    <cellStyle name="Normal 4 2 2" xfId="2202" xr:uid="{00000000-0005-0000-0000-000070080000}"/>
    <cellStyle name="Normal 4 2 2 2" xfId="2203" xr:uid="{00000000-0005-0000-0000-000071080000}"/>
    <cellStyle name="Normal 4 2 2 2 2" xfId="2204" xr:uid="{00000000-0005-0000-0000-000072080000}"/>
    <cellStyle name="Normal 4 2 2 2 2 2" xfId="2205" xr:uid="{00000000-0005-0000-0000-000073080000}"/>
    <cellStyle name="Normal 4 2 2 2 3" xfId="2206" xr:uid="{00000000-0005-0000-0000-000074080000}"/>
    <cellStyle name="Normal 4 2 2 3" xfId="2207" xr:uid="{00000000-0005-0000-0000-000075080000}"/>
    <cellStyle name="Normal 4 2 2 3 2" xfId="2208" xr:uid="{00000000-0005-0000-0000-000076080000}"/>
    <cellStyle name="Normal 4 2 2 4" xfId="2209" xr:uid="{00000000-0005-0000-0000-000077080000}"/>
    <cellStyle name="Normal 4 2 2 5" xfId="3949" xr:uid="{00000000-0005-0000-0000-000078080000}"/>
    <cellStyle name="Normal 4 2 3" xfId="2210" xr:uid="{00000000-0005-0000-0000-000079080000}"/>
    <cellStyle name="Normal 4 2 3 2" xfId="2211" xr:uid="{00000000-0005-0000-0000-00007A080000}"/>
    <cellStyle name="Normal 4 2 3 2 2" xfId="2212" xr:uid="{00000000-0005-0000-0000-00007B080000}"/>
    <cellStyle name="Normal 4 2 3 3" xfId="2213" xr:uid="{00000000-0005-0000-0000-00007C080000}"/>
    <cellStyle name="Normal 4 2 3 4" xfId="3938" xr:uid="{00000000-0005-0000-0000-00007D080000}"/>
    <cellStyle name="Normal 4 2 4" xfId="2214" xr:uid="{00000000-0005-0000-0000-00007E080000}"/>
    <cellStyle name="Normal 4 2 4 2" xfId="2215" xr:uid="{00000000-0005-0000-0000-00007F080000}"/>
    <cellStyle name="Normal 4 2 5" xfId="2216" xr:uid="{00000000-0005-0000-0000-000080080000}"/>
    <cellStyle name="Normal 4 2 6" xfId="2217" xr:uid="{00000000-0005-0000-0000-000081080000}"/>
    <cellStyle name="Normal 4 3" xfId="121" xr:uid="{00000000-0005-0000-0000-000082080000}"/>
    <cellStyle name="Normal 4 3 2" xfId="2218" xr:uid="{00000000-0005-0000-0000-000083080000}"/>
    <cellStyle name="Normal 4 3 2 2" xfId="2219" xr:uid="{00000000-0005-0000-0000-000084080000}"/>
    <cellStyle name="Normal 4 3 2 2 2" xfId="2220" xr:uid="{00000000-0005-0000-0000-000085080000}"/>
    <cellStyle name="Normal 4 3 2 2 2 2" xfId="2221" xr:uid="{00000000-0005-0000-0000-000086080000}"/>
    <cellStyle name="Normal 4 3 2 2 3" xfId="2222" xr:uid="{00000000-0005-0000-0000-000087080000}"/>
    <cellStyle name="Normal 4 3 2 3" xfId="2223" xr:uid="{00000000-0005-0000-0000-000088080000}"/>
    <cellStyle name="Normal 4 3 2 3 2" xfId="2224" xr:uid="{00000000-0005-0000-0000-000089080000}"/>
    <cellStyle name="Normal 4 3 2 4" xfId="2225" xr:uid="{00000000-0005-0000-0000-00008A080000}"/>
    <cellStyle name="Normal 4 3 2 5" xfId="3950" xr:uid="{00000000-0005-0000-0000-00008B080000}"/>
    <cellStyle name="Normal 4 3 3" xfId="2226" xr:uid="{00000000-0005-0000-0000-00008C080000}"/>
    <cellStyle name="Normal 4 3 3 2" xfId="2227" xr:uid="{00000000-0005-0000-0000-00008D080000}"/>
    <cellStyle name="Normal 4 3 3 2 2" xfId="2228" xr:uid="{00000000-0005-0000-0000-00008E080000}"/>
    <cellStyle name="Normal 4 3 3 3" xfId="2229" xr:uid="{00000000-0005-0000-0000-00008F080000}"/>
    <cellStyle name="Normal 4 3 3 4" xfId="3932" xr:uid="{00000000-0005-0000-0000-000090080000}"/>
    <cellStyle name="Normal 4 3 4" xfId="2230" xr:uid="{00000000-0005-0000-0000-000091080000}"/>
    <cellStyle name="Normal 4 3 4 2" xfId="2231" xr:uid="{00000000-0005-0000-0000-000092080000}"/>
    <cellStyle name="Normal 4 3 5" xfId="2232" xr:uid="{00000000-0005-0000-0000-000093080000}"/>
    <cellStyle name="Normal 4 3 6" xfId="2233" xr:uid="{00000000-0005-0000-0000-000094080000}"/>
    <cellStyle name="Normal 4 4" xfId="2234" xr:uid="{00000000-0005-0000-0000-000095080000}"/>
    <cellStyle name="Normal 4 4 2" xfId="2235" xr:uid="{00000000-0005-0000-0000-000096080000}"/>
    <cellStyle name="Normal 4 4 2 2" xfId="2236" xr:uid="{00000000-0005-0000-0000-000097080000}"/>
    <cellStyle name="Normal 4 4 2 2 2" xfId="2237" xr:uid="{00000000-0005-0000-0000-000098080000}"/>
    <cellStyle name="Normal 4 4 2 2 2 2" xfId="2238" xr:uid="{00000000-0005-0000-0000-000099080000}"/>
    <cellStyle name="Normal 4 4 2 2 3" xfId="2239" xr:uid="{00000000-0005-0000-0000-00009A080000}"/>
    <cellStyle name="Normal 4 4 2 3" xfId="2240" xr:uid="{00000000-0005-0000-0000-00009B080000}"/>
    <cellStyle name="Normal 4 4 2 3 2" xfId="2241" xr:uid="{00000000-0005-0000-0000-00009C080000}"/>
    <cellStyle name="Normal 4 4 2 4" xfId="2242" xr:uid="{00000000-0005-0000-0000-00009D080000}"/>
    <cellStyle name="Normal 4 4 3" xfId="2243" xr:uid="{00000000-0005-0000-0000-00009E080000}"/>
    <cellStyle name="Normal 4 4 3 2" xfId="2244" xr:uid="{00000000-0005-0000-0000-00009F080000}"/>
    <cellStyle name="Normal 4 4 3 2 2" xfId="2245" xr:uid="{00000000-0005-0000-0000-0000A0080000}"/>
    <cellStyle name="Normal 4 4 3 3" xfId="2246" xr:uid="{00000000-0005-0000-0000-0000A1080000}"/>
    <cellStyle name="Normal 4 4 4" xfId="2247" xr:uid="{00000000-0005-0000-0000-0000A2080000}"/>
    <cellStyle name="Normal 4 4 4 2" xfId="2248" xr:uid="{00000000-0005-0000-0000-0000A3080000}"/>
    <cellStyle name="Normal 4 4 5" xfId="2249" xr:uid="{00000000-0005-0000-0000-0000A4080000}"/>
    <cellStyle name="Normal 4 5" xfId="2250" xr:uid="{00000000-0005-0000-0000-0000A5080000}"/>
    <cellStyle name="Normal 4 5 2" xfId="2251" xr:uid="{00000000-0005-0000-0000-0000A6080000}"/>
    <cellStyle name="Normal 4 5 2 2" xfId="2252" xr:uid="{00000000-0005-0000-0000-0000A7080000}"/>
    <cellStyle name="Normal 4 5 2 2 2" xfId="2253" xr:uid="{00000000-0005-0000-0000-0000A8080000}"/>
    <cellStyle name="Normal 4 5 2 3" xfId="2254" xr:uid="{00000000-0005-0000-0000-0000A9080000}"/>
    <cellStyle name="Normal 4 5 3" xfId="2255" xr:uid="{00000000-0005-0000-0000-0000AA080000}"/>
    <cellStyle name="Normal 4 5 3 2" xfId="2256" xr:uid="{00000000-0005-0000-0000-0000AB080000}"/>
    <cellStyle name="Normal 4 5 4" xfId="2257" xr:uid="{00000000-0005-0000-0000-0000AC080000}"/>
    <cellStyle name="Normal 4 5 5" xfId="3948" xr:uid="{00000000-0005-0000-0000-0000AD080000}"/>
    <cellStyle name="Normal 4 6" xfId="2258" xr:uid="{00000000-0005-0000-0000-0000AE080000}"/>
    <cellStyle name="Normal 4 6 2" xfId="2259" xr:uid="{00000000-0005-0000-0000-0000AF080000}"/>
    <cellStyle name="Normal 4 6 2 2" xfId="2260" xr:uid="{00000000-0005-0000-0000-0000B0080000}"/>
    <cellStyle name="Normal 4 6 2 2 2" xfId="2261" xr:uid="{00000000-0005-0000-0000-0000B1080000}"/>
    <cellStyle name="Normal 4 6 2 3" xfId="2262" xr:uid="{00000000-0005-0000-0000-0000B2080000}"/>
    <cellStyle name="Normal 4 6 3" xfId="2263" xr:uid="{00000000-0005-0000-0000-0000B3080000}"/>
    <cellStyle name="Normal 4 6 3 2" xfId="2264" xr:uid="{00000000-0005-0000-0000-0000B4080000}"/>
    <cellStyle name="Normal 4 6 4" xfId="2265" xr:uid="{00000000-0005-0000-0000-0000B5080000}"/>
    <cellStyle name="Normal 4 6 5" xfId="3923" xr:uid="{00000000-0005-0000-0000-0000B6080000}"/>
    <cellStyle name="Normal 4 7" xfId="2266" xr:uid="{00000000-0005-0000-0000-0000B7080000}"/>
    <cellStyle name="Normal 4 7 2" xfId="2267" xr:uid="{00000000-0005-0000-0000-0000B8080000}"/>
    <cellStyle name="Normal 4 7 2 2" xfId="2268" xr:uid="{00000000-0005-0000-0000-0000B9080000}"/>
    <cellStyle name="Normal 4 7 3" xfId="2269" xr:uid="{00000000-0005-0000-0000-0000BA080000}"/>
    <cellStyle name="Normal 4 8" xfId="2270" xr:uid="{00000000-0005-0000-0000-0000BB080000}"/>
    <cellStyle name="Normal 4 8 2" xfId="2271" xr:uid="{00000000-0005-0000-0000-0000BC080000}"/>
    <cellStyle name="Normal 4 9" xfId="2272" xr:uid="{00000000-0005-0000-0000-0000BD080000}"/>
    <cellStyle name="Normal 4 9 2" xfId="2273" xr:uid="{00000000-0005-0000-0000-0000BE080000}"/>
    <cellStyle name="Normal 4_Regional Readiness Sheet" xfId="2274" xr:uid="{00000000-0005-0000-0000-0000BF080000}"/>
    <cellStyle name="Normal 48" xfId="2275" xr:uid="{00000000-0005-0000-0000-0000C0080000}"/>
    <cellStyle name="Normal 5" xfId="122" xr:uid="{00000000-0005-0000-0000-0000C1080000}"/>
    <cellStyle name="Normal 5 2" xfId="123" xr:uid="{00000000-0005-0000-0000-0000C2080000}"/>
    <cellStyle name="Normal 5 2 2" xfId="124" xr:uid="{00000000-0005-0000-0000-0000C3080000}"/>
    <cellStyle name="Normal 5 2 3" xfId="2276" xr:uid="{00000000-0005-0000-0000-0000C4080000}"/>
    <cellStyle name="Normal 5 3" xfId="125" xr:uid="{00000000-0005-0000-0000-0000C5080000}"/>
    <cellStyle name="Normal 5 3 2" xfId="126" xr:uid="{00000000-0005-0000-0000-0000C6080000}"/>
    <cellStyle name="Normal 5 3 3" xfId="2277" xr:uid="{00000000-0005-0000-0000-0000C7080000}"/>
    <cellStyle name="Normal 5 4" xfId="127" xr:uid="{00000000-0005-0000-0000-0000C8080000}"/>
    <cellStyle name="Normal 5 5" xfId="128" xr:uid="{00000000-0005-0000-0000-0000C9080000}"/>
    <cellStyle name="Normal 5 6" xfId="2278" xr:uid="{00000000-0005-0000-0000-0000CA080000}"/>
    <cellStyle name="Normal 5 6 2" xfId="3951" xr:uid="{00000000-0005-0000-0000-0000CB080000}"/>
    <cellStyle name="Normal 5 7" xfId="3924" xr:uid="{00000000-0005-0000-0000-0000CC080000}"/>
    <cellStyle name="Normal 58 2" xfId="3959" xr:uid="{00000000-0005-0000-0000-0000CD080000}"/>
    <cellStyle name="Normal 58 2 2" xfId="3962" xr:uid="{00000000-0005-0000-0000-0000CE080000}"/>
    <cellStyle name="Normal 58 2 2 21" xfId="3964" xr:uid="{AAD84B4D-1FBB-4848-AE2E-96F69F3B2F12}"/>
    <cellStyle name="Normal 6" xfId="129" xr:uid="{00000000-0005-0000-0000-0000CF080000}"/>
    <cellStyle name="Normal 6 2" xfId="130" xr:uid="{00000000-0005-0000-0000-0000D0080000}"/>
    <cellStyle name="Normal 6 2 2" xfId="2279" xr:uid="{00000000-0005-0000-0000-0000D1080000}"/>
    <cellStyle name="Normal 6 2 3" xfId="2280" xr:uid="{00000000-0005-0000-0000-0000D2080000}"/>
    <cellStyle name="Normal 6 2 4" xfId="2281" xr:uid="{00000000-0005-0000-0000-0000D3080000}"/>
    <cellStyle name="Normal 6 3" xfId="131" xr:uid="{00000000-0005-0000-0000-0000D4080000}"/>
    <cellStyle name="Normal 6 3 2" xfId="132" xr:uid="{00000000-0005-0000-0000-0000D5080000}"/>
    <cellStyle name="Normal 6 3 2 2" xfId="2282" xr:uid="{00000000-0005-0000-0000-0000D6080000}"/>
    <cellStyle name="Normal 6 3 3" xfId="2283" xr:uid="{00000000-0005-0000-0000-0000D7080000}"/>
    <cellStyle name="Normal 6 3 4" xfId="3933" xr:uid="{00000000-0005-0000-0000-0000D8080000}"/>
    <cellStyle name="Normal 6 4" xfId="133" xr:uid="{00000000-0005-0000-0000-0000D9080000}"/>
    <cellStyle name="Normal 6 4 2" xfId="2284" xr:uid="{00000000-0005-0000-0000-0000DA080000}"/>
    <cellStyle name="Normal 6 5" xfId="2285" xr:uid="{00000000-0005-0000-0000-0000DB080000}"/>
    <cellStyle name="Normal 6 5 2" xfId="3952" xr:uid="{00000000-0005-0000-0000-0000DC080000}"/>
    <cellStyle name="Normal 6 6" xfId="3955" xr:uid="{00000000-0005-0000-0000-0000DD080000}"/>
    <cellStyle name="Normal 60" xfId="3960" xr:uid="{00000000-0005-0000-0000-0000DE080000}"/>
    <cellStyle name="Normal 60 21" xfId="3963" xr:uid="{EDCAFD6D-5E1D-42F3-8F77-D52E65179751}"/>
    <cellStyle name="Normal 7" xfId="134" xr:uid="{00000000-0005-0000-0000-0000DF080000}"/>
    <cellStyle name="Normal 7 2" xfId="135" xr:uid="{00000000-0005-0000-0000-0000E0080000}"/>
    <cellStyle name="Normal 7 2 2" xfId="2286" xr:uid="{00000000-0005-0000-0000-0000E1080000}"/>
    <cellStyle name="Normal 7 2 3" xfId="2287" xr:uid="{00000000-0005-0000-0000-0000E2080000}"/>
    <cellStyle name="Normal 7 3" xfId="2288" xr:uid="{00000000-0005-0000-0000-0000E3080000}"/>
    <cellStyle name="Normal 7 3 2" xfId="3953" xr:uid="{00000000-0005-0000-0000-0000E4080000}"/>
    <cellStyle name="Normal 7 4" xfId="2289" xr:uid="{00000000-0005-0000-0000-0000E5080000}"/>
    <cellStyle name="Normal 7 4 2" xfId="2290" xr:uid="{00000000-0005-0000-0000-0000E6080000}"/>
    <cellStyle name="Normal 7 4 3" xfId="3934" xr:uid="{00000000-0005-0000-0000-0000E7080000}"/>
    <cellStyle name="Normal 7 5" xfId="2291" xr:uid="{00000000-0005-0000-0000-0000E8080000}"/>
    <cellStyle name="Normal 7 6" xfId="3956" xr:uid="{00000000-0005-0000-0000-0000E9080000}"/>
    <cellStyle name="Normal 8" xfId="136" xr:uid="{00000000-0005-0000-0000-0000EA080000}"/>
    <cellStyle name="Normal 8 2" xfId="137" xr:uid="{00000000-0005-0000-0000-0000EB080000}"/>
    <cellStyle name="Normal 8 2 2" xfId="2292" xr:uid="{00000000-0005-0000-0000-0000EC080000}"/>
    <cellStyle name="Normal 8 3" xfId="204" xr:uid="{00000000-0005-0000-0000-0000ED080000}"/>
    <cellStyle name="Normal 8 4" xfId="3935" xr:uid="{00000000-0005-0000-0000-0000EE080000}"/>
    <cellStyle name="Normal 9" xfId="138" xr:uid="{00000000-0005-0000-0000-0000EF080000}"/>
    <cellStyle name="Normal 9 2" xfId="139" xr:uid="{00000000-0005-0000-0000-0000F0080000}"/>
    <cellStyle name="Normal 9 2 2" xfId="2293" xr:uid="{00000000-0005-0000-0000-0000F1080000}"/>
    <cellStyle name="Normal 9 2 2 2" xfId="2294" xr:uid="{00000000-0005-0000-0000-0000F2080000}"/>
    <cellStyle name="Normal 9 2 3" xfId="2295" xr:uid="{00000000-0005-0000-0000-0000F3080000}"/>
    <cellStyle name="Normal 9 3" xfId="2296" xr:uid="{00000000-0005-0000-0000-0000F4080000}"/>
    <cellStyle name="Normal 9 3 2" xfId="2297" xr:uid="{00000000-0005-0000-0000-0000F5080000}"/>
    <cellStyle name="Normal 9 4" xfId="2298" xr:uid="{00000000-0005-0000-0000-0000F6080000}"/>
    <cellStyle name="Normal 9 4 2" xfId="2299" xr:uid="{00000000-0005-0000-0000-0000F7080000}"/>
    <cellStyle name="Normal 9 4 2 2" xfId="2300" xr:uid="{00000000-0005-0000-0000-0000F8080000}"/>
    <cellStyle name="Normal 9 4 3" xfId="2301" xr:uid="{00000000-0005-0000-0000-0000F9080000}"/>
    <cellStyle name="Normal 9 5" xfId="2302" xr:uid="{00000000-0005-0000-0000-0000FA080000}"/>
    <cellStyle name="NormalStyleCurrency" xfId="2303" xr:uid="{00000000-0005-0000-0000-0000FC080000}"/>
    <cellStyle name="NormalStyleText" xfId="2304" xr:uid="{00000000-0005-0000-0000-0000FD080000}"/>
    <cellStyle name="Note 2" xfId="140" xr:uid="{00000000-0005-0000-0000-0000FE080000}"/>
    <cellStyle name="Note 2 2" xfId="141" xr:uid="{00000000-0005-0000-0000-0000FF080000}"/>
    <cellStyle name="Note 2 2 10" xfId="2305" xr:uid="{00000000-0005-0000-0000-000000090000}"/>
    <cellStyle name="Note 2 2 10 2" xfId="2306" xr:uid="{00000000-0005-0000-0000-000001090000}"/>
    <cellStyle name="Note 2 2 10 3" xfId="2307" xr:uid="{00000000-0005-0000-0000-000002090000}"/>
    <cellStyle name="Note 2 2 10 4" xfId="2308" xr:uid="{00000000-0005-0000-0000-000003090000}"/>
    <cellStyle name="Note 2 2 10 5" xfId="2309" xr:uid="{00000000-0005-0000-0000-000004090000}"/>
    <cellStyle name="Note 2 2 11" xfId="2310" xr:uid="{00000000-0005-0000-0000-000005090000}"/>
    <cellStyle name="Note 2 2 11 2" xfId="2311" xr:uid="{00000000-0005-0000-0000-000006090000}"/>
    <cellStyle name="Note 2 2 11 3" xfId="2312" xr:uid="{00000000-0005-0000-0000-000007090000}"/>
    <cellStyle name="Note 2 2 11 4" xfId="2313" xr:uid="{00000000-0005-0000-0000-000008090000}"/>
    <cellStyle name="Note 2 2 11 5" xfId="2314" xr:uid="{00000000-0005-0000-0000-000009090000}"/>
    <cellStyle name="Note 2 2 12" xfId="2315" xr:uid="{00000000-0005-0000-0000-00000A090000}"/>
    <cellStyle name="Note 2 2 12 2" xfId="2316" xr:uid="{00000000-0005-0000-0000-00000B090000}"/>
    <cellStyle name="Note 2 2 12 3" xfId="2317" xr:uid="{00000000-0005-0000-0000-00000C090000}"/>
    <cellStyle name="Note 2 2 12 4" xfId="2318" xr:uid="{00000000-0005-0000-0000-00000D090000}"/>
    <cellStyle name="Note 2 2 12 5" xfId="2319" xr:uid="{00000000-0005-0000-0000-00000E090000}"/>
    <cellStyle name="Note 2 2 13" xfId="2320" xr:uid="{00000000-0005-0000-0000-00000F090000}"/>
    <cellStyle name="Note 2 2 13 2" xfId="2321" xr:uid="{00000000-0005-0000-0000-000010090000}"/>
    <cellStyle name="Note 2 2 13 3" xfId="2322" xr:uid="{00000000-0005-0000-0000-000011090000}"/>
    <cellStyle name="Note 2 2 13 4" xfId="2323" xr:uid="{00000000-0005-0000-0000-000012090000}"/>
    <cellStyle name="Note 2 2 14" xfId="2324" xr:uid="{00000000-0005-0000-0000-000013090000}"/>
    <cellStyle name="Note 2 2 14 2" xfId="2325" xr:uid="{00000000-0005-0000-0000-000014090000}"/>
    <cellStyle name="Note 2 2 14 3" xfId="2326" xr:uid="{00000000-0005-0000-0000-000015090000}"/>
    <cellStyle name="Note 2 2 14 4" xfId="2327" xr:uid="{00000000-0005-0000-0000-000016090000}"/>
    <cellStyle name="Note 2 2 15" xfId="2328" xr:uid="{00000000-0005-0000-0000-000017090000}"/>
    <cellStyle name="Note 2 2 15 2" xfId="2329" xr:uid="{00000000-0005-0000-0000-000018090000}"/>
    <cellStyle name="Note 2 2 15 3" xfId="2330" xr:uid="{00000000-0005-0000-0000-000019090000}"/>
    <cellStyle name="Note 2 2 15 4" xfId="2331" xr:uid="{00000000-0005-0000-0000-00001A090000}"/>
    <cellStyle name="Note 2 2 2" xfId="142" xr:uid="{00000000-0005-0000-0000-00001B090000}"/>
    <cellStyle name="Note 2 2 2 10" xfId="2332" xr:uid="{00000000-0005-0000-0000-00001C090000}"/>
    <cellStyle name="Note 2 2 2 10 2" xfId="2333" xr:uid="{00000000-0005-0000-0000-00001D090000}"/>
    <cellStyle name="Note 2 2 2 10 3" xfId="2334" xr:uid="{00000000-0005-0000-0000-00001E090000}"/>
    <cellStyle name="Note 2 2 2 10 4" xfId="2335" xr:uid="{00000000-0005-0000-0000-00001F090000}"/>
    <cellStyle name="Note 2 2 2 10 5" xfId="2336" xr:uid="{00000000-0005-0000-0000-000020090000}"/>
    <cellStyle name="Note 2 2 2 11" xfId="2337" xr:uid="{00000000-0005-0000-0000-000021090000}"/>
    <cellStyle name="Note 2 2 2 11 2" xfId="2338" xr:uid="{00000000-0005-0000-0000-000022090000}"/>
    <cellStyle name="Note 2 2 2 11 3" xfId="2339" xr:uid="{00000000-0005-0000-0000-000023090000}"/>
    <cellStyle name="Note 2 2 2 11 4" xfId="2340" xr:uid="{00000000-0005-0000-0000-000024090000}"/>
    <cellStyle name="Note 2 2 2 11 5" xfId="2341" xr:uid="{00000000-0005-0000-0000-000025090000}"/>
    <cellStyle name="Note 2 2 2 12" xfId="2342" xr:uid="{00000000-0005-0000-0000-000026090000}"/>
    <cellStyle name="Note 2 2 2 12 2" xfId="2343" xr:uid="{00000000-0005-0000-0000-000027090000}"/>
    <cellStyle name="Note 2 2 2 12 3" xfId="2344" xr:uid="{00000000-0005-0000-0000-000028090000}"/>
    <cellStyle name="Note 2 2 2 12 4" xfId="2345" xr:uid="{00000000-0005-0000-0000-000029090000}"/>
    <cellStyle name="Note 2 2 2 12 5" xfId="2346" xr:uid="{00000000-0005-0000-0000-00002A090000}"/>
    <cellStyle name="Note 2 2 2 13" xfId="2347" xr:uid="{00000000-0005-0000-0000-00002B090000}"/>
    <cellStyle name="Note 2 2 2 13 2" xfId="2348" xr:uid="{00000000-0005-0000-0000-00002C090000}"/>
    <cellStyle name="Note 2 2 2 13 3" xfId="2349" xr:uid="{00000000-0005-0000-0000-00002D090000}"/>
    <cellStyle name="Note 2 2 2 13 4" xfId="2350" xr:uid="{00000000-0005-0000-0000-00002E090000}"/>
    <cellStyle name="Note 2 2 2 13 5" xfId="2351" xr:uid="{00000000-0005-0000-0000-00002F090000}"/>
    <cellStyle name="Note 2 2 2 14" xfId="2352" xr:uid="{00000000-0005-0000-0000-000030090000}"/>
    <cellStyle name="Note 2 2 2 14 2" xfId="2353" xr:uid="{00000000-0005-0000-0000-000031090000}"/>
    <cellStyle name="Note 2 2 2 14 3" xfId="2354" xr:uid="{00000000-0005-0000-0000-000032090000}"/>
    <cellStyle name="Note 2 2 2 14 4" xfId="2355" xr:uid="{00000000-0005-0000-0000-000033090000}"/>
    <cellStyle name="Note 2 2 2 14 5" xfId="2356" xr:uid="{00000000-0005-0000-0000-000034090000}"/>
    <cellStyle name="Note 2 2 2 15" xfId="2357" xr:uid="{00000000-0005-0000-0000-000035090000}"/>
    <cellStyle name="Note 2 2 2 15 2" xfId="2358" xr:uid="{00000000-0005-0000-0000-000036090000}"/>
    <cellStyle name="Note 2 2 2 15 3" xfId="2359" xr:uid="{00000000-0005-0000-0000-000037090000}"/>
    <cellStyle name="Note 2 2 2 15 4" xfId="2360" xr:uid="{00000000-0005-0000-0000-000038090000}"/>
    <cellStyle name="Note 2 2 2 15 5" xfId="2361" xr:uid="{00000000-0005-0000-0000-000039090000}"/>
    <cellStyle name="Note 2 2 2 16" xfId="2362" xr:uid="{00000000-0005-0000-0000-00003A090000}"/>
    <cellStyle name="Note 2 2 2 16 2" xfId="2363" xr:uid="{00000000-0005-0000-0000-00003B090000}"/>
    <cellStyle name="Note 2 2 2 16 3" xfId="2364" xr:uid="{00000000-0005-0000-0000-00003C090000}"/>
    <cellStyle name="Note 2 2 2 16 4" xfId="2365" xr:uid="{00000000-0005-0000-0000-00003D090000}"/>
    <cellStyle name="Note 2 2 2 16 5" xfId="2366" xr:uid="{00000000-0005-0000-0000-00003E090000}"/>
    <cellStyle name="Note 2 2 2 17" xfId="2367" xr:uid="{00000000-0005-0000-0000-00003F090000}"/>
    <cellStyle name="Note 2 2 2 17 2" xfId="2368" xr:uid="{00000000-0005-0000-0000-000040090000}"/>
    <cellStyle name="Note 2 2 2 17 3" xfId="2369" xr:uid="{00000000-0005-0000-0000-000041090000}"/>
    <cellStyle name="Note 2 2 2 17 4" xfId="2370" xr:uid="{00000000-0005-0000-0000-000042090000}"/>
    <cellStyle name="Note 2 2 2 17 5" xfId="2371" xr:uid="{00000000-0005-0000-0000-000043090000}"/>
    <cellStyle name="Note 2 2 2 18" xfId="2372" xr:uid="{00000000-0005-0000-0000-000044090000}"/>
    <cellStyle name="Note 2 2 2 18 2" xfId="2373" xr:uid="{00000000-0005-0000-0000-000045090000}"/>
    <cellStyle name="Note 2 2 2 18 3" xfId="2374" xr:uid="{00000000-0005-0000-0000-000046090000}"/>
    <cellStyle name="Note 2 2 2 18 4" xfId="2375" xr:uid="{00000000-0005-0000-0000-000047090000}"/>
    <cellStyle name="Note 2 2 2 18 5" xfId="2376" xr:uid="{00000000-0005-0000-0000-000048090000}"/>
    <cellStyle name="Note 2 2 2 19" xfId="2377" xr:uid="{00000000-0005-0000-0000-000049090000}"/>
    <cellStyle name="Note 2 2 2 19 2" xfId="2378" xr:uid="{00000000-0005-0000-0000-00004A090000}"/>
    <cellStyle name="Note 2 2 2 19 3" xfId="2379" xr:uid="{00000000-0005-0000-0000-00004B090000}"/>
    <cellStyle name="Note 2 2 2 19 4" xfId="2380" xr:uid="{00000000-0005-0000-0000-00004C090000}"/>
    <cellStyle name="Note 2 2 2 2" xfId="2381" xr:uid="{00000000-0005-0000-0000-00004D090000}"/>
    <cellStyle name="Note 2 2 2 2 2" xfId="2382" xr:uid="{00000000-0005-0000-0000-00004E090000}"/>
    <cellStyle name="Note 2 2 2 2 3" xfId="2383" xr:uid="{00000000-0005-0000-0000-00004F090000}"/>
    <cellStyle name="Note 2 2 2 2 4" xfId="2384" xr:uid="{00000000-0005-0000-0000-000050090000}"/>
    <cellStyle name="Note 2 2 2 2 5" xfId="2385" xr:uid="{00000000-0005-0000-0000-000051090000}"/>
    <cellStyle name="Note 2 2 2 20" xfId="2386" xr:uid="{00000000-0005-0000-0000-000052090000}"/>
    <cellStyle name="Note 2 2 2 20 2" xfId="2387" xr:uid="{00000000-0005-0000-0000-000053090000}"/>
    <cellStyle name="Note 2 2 2 20 3" xfId="2388" xr:uid="{00000000-0005-0000-0000-000054090000}"/>
    <cellStyle name="Note 2 2 2 20 4" xfId="2389" xr:uid="{00000000-0005-0000-0000-000055090000}"/>
    <cellStyle name="Note 2 2 2 21" xfId="2390" xr:uid="{00000000-0005-0000-0000-000056090000}"/>
    <cellStyle name="Note 2 2 2 21 2" xfId="2391" xr:uid="{00000000-0005-0000-0000-000057090000}"/>
    <cellStyle name="Note 2 2 2 21 3" xfId="2392" xr:uid="{00000000-0005-0000-0000-000058090000}"/>
    <cellStyle name="Note 2 2 2 21 4" xfId="2393" xr:uid="{00000000-0005-0000-0000-000059090000}"/>
    <cellStyle name="Note 2 2 2 22" xfId="2394" xr:uid="{00000000-0005-0000-0000-00005A090000}"/>
    <cellStyle name="Note 2 2 2 22 2" xfId="2395" xr:uid="{00000000-0005-0000-0000-00005B090000}"/>
    <cellStyle name="Note 2 2 2 22 3" xfId="2396" xr:uid="{00000000-0005-0000-0000-00005C090000}"/>
    <cellStyle name="Note 2 2 2 22 4" xfId="2397" xr:uid="{00000000-0005-0000-0000-00005D090000}"/>
    <cellStyle name="Note 2 2 2 23" xfId="2398" xr:uid="{00000000-0005-0000-0000-00005E090000}"/>
    <cellStyle name="Note 2 2 2 3" xfId="2399" xr:uid="{00000000-0005-0000-0000-00005F090000}"/>
    <cellStyle name="Note 2 2 2 3 2" xfId="2400" xr:uid="{00000000-0005-0000-0000-000060090000}"/>
    <cellStyle name="Note 2 2 2 3 3" xfId="2401" xr:uid="{00000000-0005-0000-0000-000061090000}"/>
    <cellStyle name="Note 2 2 2 3 4" xfId="2402" xr:uid="{00000000-0005-0000-0000-000062090000}"/>
    <cellStyle name="Note 2 2 2 3 5" xfId="2403" xr:uid="{00000000-0005-0000-0000-000063090000}"/>
    <cellStyle name="Note 2 2 2 4" xfId="2404" xr:uid="{00000000-0005-0000-0000-000064090000}"/>
    <cellStyle name="Note 2 2 2 4 2" xfId="2405" xr:uid="{00000000-0005-0000-0000-000065090000}"/>
    <cellStyle name="Note 2 2 2 4 3" xfId="2406" xr:uid="{00000000-0005-0000-0000-000066090000}"/>
    <cellStyle name="Note 2 2 2 4 4" xfId="2407" xr:uid="{00000000-0005-0000-0000-000067090000}"/>
    <cellStyle name="Note 2 2 2 4 5" xfId="2408" xr:uid="{00000000-0005-0000-0000-000068090000}"/>
    <cellStyle name="Note 2 2 2 5" xfId="2409" xr:uid="{00000000-0005-0000-0000-000069090000}"/>
    <cellStyle name="Note 2 2 2 5 2" xfId="2410" xr:uid="{00000000-0005-0000-0000-00006A090000}"/>
    <cellStyle name="Note 2 2 2 5 3" xfId="2411" xr:uid="{00000000-0005-0000-0000-00006B090000}"/>
    <cellStyle name="Note 2 2 2 5 4" xfId="2412" xr:uid="{00000000-0005-0000-0000-00006C090000}"/>
    <cellStyle name="Note 2 2 2 5 5" xfId="2413" xr:uid="{00000000-0005-0000-0000-00006D090000}"/>
    <cellStyle name="Note 2 2 2 6" xfId="2414" xr:uid="{00000000-0005-0000-0000-00006E090000}"/>
    <cellStyle name="Note 2 2 2 6 2" xfId="2415" xr:uid="{00000000-0005-0000-0000-00006F090000}"/>
    <cellStyle name="Note 2 2 2 6 3" xfId="2416" xr:uid="{00000000-0005-0000-0000-000070090000}"/>
    <cellStyle name="Note 2 2 2 6 4" xfId="2417" xr:uid="{00000000-0005-0000-0000-000071090000}"/>
    <cellStyle name="Note 2 2 2 6 5" xfId="2418" xr:uid="{00000000-0005-0000-0000-000072090000}"/>
    <cellStyle name="Note 2 2 2 7" xfId="2419" xr:uid="{00000000-0005-0000-0000-000073090000}"/>
    <cellStyle name="Note 2 2 2 7 2" xfId="2420" xr:uid="{00000000-0005-0000-0000-000074090000}"/>
    <cellStyle name="Note 2 2 2 7 3" xfId="2421" xr:uid="{00000000-0005-0000-0000-000075090000}"/>
    <cellStyle name="Note 2 2 2 7 4" xfId="2422" xr:uid="{00000000-0005-0000-0000-000076090000}"/>
    <cellStyle name="Note 2 2 2 7 5" xfId="2423" xr:uid="{00000000-0005-0000-0000-000077090000}"/>
    <cellStyle name="Note 2 2 2 8" xfId="2424" xr:uid="{00000000-0005-0000-0000-000078090000}"/>
    <cellStyle name="Note 2 2 2 8 2" xfId="2425" xr:uid="{00000000-0005-0000-0000-000079090000}"/>
    <cellStyle name="Note 2 2 2 8 3" xfId="2426" xr:uid="{00000000-0005-0000-0000-00007A090000}"/>
    <cellStyle name="Note 2 2 2 8 4" xfId="2427" xr:uid="{00000000-0005-0000-0000-00007B090000}"/>
    <cellStyle name="Note 2 2 2 8 5" xfId="2428" xr:uid="{00000000-0005-0000-0000-00007C090000}"/>
    <cellStyle name="Note 2 2 2 9" xfId="2429" xr:uid="{00000000-0005-0000-0000-00007D090000}"/>
    <cellStyle name="Note 2 2 2 9 2" xfId="2430" xr:uid="{00000000-0005-0000-0000-00007E090000}"/>
    <cellStyle name="Note 2 2 2 9 3" xfId="2431" xr:uid="{00000000-0005-0000-0000-00007F090000}"/>
    <cellStyle name="Note 2 2 2 9 4" xfId="2432" xr:uid="{00000000-0005-0000-0000-000080090000}"/>
    <cellStyle name="Note 2 2 2 9 5" xfId="2433" xr:uid="{00000000-0005-0000-0000-000081090000}"/>
    <cellStyle name="Note 2 2 3" xfId="2434" xr:uid="{00000000-0005-0000-0000-000082090000}"/>
    <cellStyle name="Note 2 2 3 10" xfId="2435" xr:uid="{00000000-0005-0000-0000-000083090000}"/>
    <cellStyle name="Note 2 2 3 10 2" xfId="2436" xr:uid="{00000000-0005-0000-0000-000084090000}"/>
    <cellStyle name="Note 2 2 3 10 3" xfId="2437" xr:uid="{00000000-0005-0000-0000-000085090000}"/>
    <cellStyle name="Note 2 2 3 10 4" xfId="2438" xr:uid="{00000000-0005-0000-0000-000086090000}"/>
    <cellStyle name="Note 2 2 3 10 5" xfId="2439" xr:uid="{00000000-0005-0000-0000-000087090000}"/>
    <cellStyle name="Note 2 2 3 11" xfId="2440" xr:uid="{00000000-0005-0000-0000-000088090000}"/>
    <cellStyle name="Note 2 2 3 11 2" xfId="2441" xr:uid="{00000000-0005-0000-0000-000089090000}"/>
    <cellStyle name="Note 2 2 3 11 3" xfId="2442" xr:uid="{00000000-0005-0000-0000-00008A090000}"/>
    <cellStyle name="Note 2 2 3 11 4" xfId="2443" xr:uid="{00000000-0005-0000-0000-00008B090000}"/>
    <cellStyle name="Note 2 2 3 11 5" xfId="2444" xr:uid="{00000000-0005-0000-0000-00008C090000}"/>
    <cellStyle name="Note 2 2 3 12" xfId="2445" xr:uid="{00000000-0005-0000-0000-00008D090000}"/>
    <cellStyle name="Note 2 2 3 12 2" xfId="2446" xr:uid="{00000000-0005-0000-0000-00008E090000}"/>
    <cellStyle name="Note 2 2 3 12 3" xfId="2447" xr:uid="{00000000-0005-0000-0000-00008F090000}"/>
    <cellStyle name="Note 2 2 3 12 4" xfId="2448" xr:uid="{00000000-0005-0000-0000-000090090000}"/>
    <cellStyle name="Note 2 2 3 12 5" xfId="2449" xr:uid="{00000000-0005-0000-0000-000091090000}"/>
    <cellStyle name="Note 2 2 3 13" xfId="2450" xr:uid="{00000000-0005-0000-0000-000092090000}"/>
    <cellStyle name="Note 2 2 3 13 2" xfId="2451" xr:uid="{00000000-0005-0000-0000-000093090000}"/>
    <cellStyle name="Note 2 2 3 13 3" xfId="2452" xr:uid="{00000000-0005-0000-0000-000094090000}"/>
    <cellStyle name="Note 2 2 3 13 4" xfId="2453" xr:uid="{00000000-0005-0000-0000-000095090000}"/>
    <cellStyle name="Note 2 2 3 13 5" xfId="2454" xr:uid="{00000000-0005-0000-0000-000096090000}"/>
    <cellStyle name="Note 2 2 3 14" xfId="2455" xr:uid="{00000000-0005-0000-0000-000097090000}"/>
    <cellStyle name="Note 2 2 3 14 2" xfId="2456" xr:uid="{00000000-0005-0000-0000-000098090000}"/>
    <cellStyle name="Note 2 2 3 14 3" xfId="2457" xr:uid="{00000000-0005-0000-0000-000099090000}"/>
    <cellStyle name="Note 2 2 3 14 4" xfId="2458" xr:uid="{00000000-0005-0000-0000-00009A090000}"/>
    <cellStyle name="Note 2 2 3 14 5" xfId="2459" xr:uid="{00000000-0005-0000-0000-00009B090000}"/>
    <cellStyle name="Note 2 2 3 15" xfId="2460" xr:uid="{00000000-0005-0000-0000-00009C090000}"/>
    <cellStyle name="Note 2 2 3 15 2" xfId="2461" xr:uid="{00000000-0005-0000-0000-00009D090000}"/>
    <cellStyle name="Note 2 2 3 15 3" xfId="2462" xr:uid="{00000000-0005-0000-0000-00009E090000}"/>
    <cellStyle name="Note 2 2 3 15 4" xfId="2463" xr:uid="{00000000-0005-0000-0000-00009F090000}"/>
    <cellStyle name="Note 2 2 3 15 5" xfId="2464" xr:uid="{00000000-0005-0000-0000-0000A0090000}"/>
    <cellStyle name="Note 2 2 3 16" xfId="2465" xr:uid="{00000000-0005-0000-0000-0000A1090000}"/>
    <cellStyle name="Note 2 2 3 16 2" xfId="2466" xr:uid="{00000000-0005-0000-0000-0000A2090000}"/>
    <cellStyle name="Note 2 2 3 16 3" xfId="2467" xr:uid="{00000000-0005-0000-0000-0000A3090000}"/>
    <cellStyle name="Note 2 2 3 16 4" xfId="2468" xr:uid="{00000000-0005-0000-0000-0000A4090000}"/>
    <cellStyle name="Note 2 2 3 16 5" xfId="2469" xr:uid="{00000000-0005-0000-0000-0000A5090000}"/>
    <cellStyle name="Note 2 2 3 17" xfId="2470" xr:uid="{00000000-0005-0000-0000-0000A6090000}"/>
    <cellStyle name="Note 2 2 3 17 2" xfId="2471" xr:uid="{00000000-0005-0000-0000-0000A7090000}"/>
    <cellStyle name="Note 2 2 3 17 3" xfId="2472" xr:uid="{00000000-0005-0000-0000-0000A8090000}"/>
    <cellStyle name="Note 2 2 3 17 4" xfId="2473" xr:uid="{00000000-0005-0000-0000-0000A9090000}"/>
    <cellStyle name="Note 2 2 3 17 5" xfId="2474" xr:uid="{00000000-0005-0000-0000-0000AA090000}"/>
    <cellStyle name="Note 2 2 3 18" xfId="2475" xr:uid="{00000000-0005-0000-0000-0000AB090000}"/>
    <cellStyle name="Note 2 2 3 18 2" xfId="2476" xr:uid="{00000000-0005-0000-0000-0000AC090000}"/>
    <cellStyle name="Note 2 2 3 18 3" xfId="2477" xr:uid="{00000000-0005-0000-0000-0000AD090000}"/>
    <cellStyle name="Note 2 2 3 18 4" xfId="2478" xr:uid="{00000000-0005-0000-0000-0000AE090000}"/>
    <cellStyle name="Note 2 2 3 18 5" xfId="2479" xr:uid="{00000000-0005-0000-0000-0000AF090000}"/>
    <cellStyle name="Note 2 2 3 19" xfId="2480" xr:uid="{00000000-0005-0000-0000-0000B0090000}"/>
    <cellStyle name="Note 2 2 3 19 2" xfId="2481" xr:uid="{00000000-0005-0000-0000-0000B1090000}"/>
    <cellStyle name="Note 2 2 3 19 3" xfId="2482" xr:uid="{00000000-0005-0000-0000-0000B2090000}"/>
    <cellStyle name="Note 2 2 3 19 4" xfId="2483" xr:uid="{00000000-0005-0000-0000-0000B3090000}"/>
    <cellStyle name="Note 2 2 3 2" xfId="2484" xr:uid="{00000000-0005-0000-0000-0000B4090000}"/>
    <cellStyle name="Note 2 2 3 2 2" xfId="2485" xr:uid="{00000000-0005-0000-0000-0000B5090000}"/>
    <cellStyle name="Note 2 2 3 2 3" xfId="2486" xr:uid="{00000000-0005-0000-0000-0000B6090000}"/>
    <cellStyle name="Note 2 2 3 2 4" xfId="2487" xr:uid="{00000000-0005-0000-0000-0000B7090000}"/>
    <cellStyle name="Note 2 2 3 2 5" xfId="2488" xr:uid="{00000000-0005-0000-0000-0000B8090000}"/>
    <cellStyle name="Note 2 2 3 20" xfId="2489" xr:uid="{00000000-0005-0000-0000-0000B9090000}"/>
    <cellStyle name="Note 2 2 3 20 2" xfId="2490" xr:uid="{00000000-0005-0000-0000-0000BA090000}"/>
    <cellStyle name="Note 2 2 3 20 3" xfId="2491" xr:uid="{00000000-0005-0000-0000-0000BB090000}"/>
    <cellStyle name="Note 2 2 3 20 4" xfId="2492" xr:uid="{00000000-0005-0000-0000-0000BC090000}"/>
    <cellStyle name="Note 2 2 3 21" xfId="2493" xr:uid="{00000000-0005-0000-0000-0000BD090000}"/>
    <cellStyle name="Note 2 2 3 21 2" xfId="2494" xr:uid="{00000000-0005-0000-0000-0000BE090000}"/>
    <cellStyle name="Note 2 2 3 21 3" xfId="2495" xr:uid="{00000000-0005-0000-0000-0000BF090000}"/>
    <cellStyle name="Note 2 2 3 21 4" xfId="2496" xr:uid="{00000000-0005-0000-0000-0000C0090000}"/>
    <cellStyle name="Note 2 2 3 22" xfId="2497" xr:uid="{00000000-0005-0000-0000-0000C1090000}"/>
    <cellStyle name="Note 2 2 3 22 2" xfId="2498" xr:uid="{00000000-0005-0000-0000-0000C2090000}"/>
    <cellStyle name="Note 2 2 3 22 3" xfId="2499" xr:uid="{00000000-0005-0000-0000-0000C3090000}"/>
    <cellStyle name="Note 2 2 3 22 4" xfId="2500" xr:uid="{00000000-0005-0000-0000-0000C4090000}"/>
    <cellStyle name="Note 2 2 3 23" xfId="2501" xr:uid="{00000000-0005-0000-0000-0000C5090000}"/>
    <cellStyle name="Note 2 2 3 3" xfId="2502" xr:uid="{00000000-0005-0000-0000-0000C6090000}"/>
    <cellStyle name="Note 2 2 3 3 2" xfId="2503" xr:uid="{00000000-0005-0000-0000-0000C7090000}"/>
    <cellStyle name="Note 2 2 3 3 3" xfId="2504" xr:uid="{00000000-0005-0000-0000-0000C8090000}"/>
    <cellStyle name="Note 2 2 3 3 4" xfId="2505" xr:uid="{00000000-0005-0000-0000-0000C9090000}"/>
    <cellStyle name="Note 2 2 3 3 5" xfId="2506" xr:uid="{00000000-0005-0000-0000-0000CA090000}"/>
    <cellStyle name="Note 2 2 3 4" xfId="2507" xr:uid="{00000000-0005-0000-0000-0000CB090000}"/>
    <cellStyle name="Note 2 2 3 4 2" xfId="2508" xr:uid="{00000000-0005-0000-0000-0000CC090000}"/>
    <cellStyle name="Note 2 2 3 4 3" xfId="2509" xr:uid="{00000000-0005-0000-0000-0000CD090000}"/>
    <cellStyle name="Note 2 2 3 4 4" xfId="2510" xr:uid="{00000000-0005-0000-0000-0000CE090000}"/>
    <cellStyle name="Note 2 2 3 4 5" xfId="2511" xr:uid="{00000000-0005-0000-0000-0000CF090000}"/>
    <cellStyle name="Note 2 2 3 5" xfId="2512" xr:uid="{00000000-0005-0000-0000-0000D0090000}"/>
    <cellStyle name="Note 2 2 3 5 2" xfId="2513" xr:uid="{00000000-0005-0000-0000-0000D1090000}"/>
    <cellStyle name="Note 2 2 3 5 3" xfId="2514" xr:uid="{00000000-0005-0000-0000-0000D2090000}"/>
    <cellStyle name="Note 2 2 3 5 4" xfId="2515" xr:uid="{00000000-0005-0000-0000-0000D3090000}"/>
    <cellStyle name="Note 2 2 3 5 5" xfId="2516" xr:uid="{00000000-0005-0000-0000-0000D4090000}"/>
    <cellStyle name="Note 2 2 3 6" xfId="2517" xr:uid="{00000000-0005-0000-0000-0000D5090000}"/>
    <cellStyle name="Note 2 2 3 6 2" xfId="2518" xr:uid="{00000000-0005-0000-0000-0000D6090000}"/>
    <cellStyle name="Note 2 2 3 6 3" xfId="2519" xr:uid="{00000000-0005-0000-0000-0000D7090000}"/>
    <cellStyle name="Note 2 2 3 6 4" xfId="2520" xr:uid="{00000000-0005-0000-0000-0000D8090000}"/>
    <cellStyle name="Note 2 2 3 6 5" xfId="2521" xr:uid="{00000000-0005-0000-0000-0000D9090000}"/>
    <cellStyle name="Note 2 2 3 7" xfId="2522" xr:uid="{00000000-0005-0000-0000-0000DA090000}"/>
    <cellStyle name="Note 2 2 3 7 2" xfId="2523" xr:uid="{00000000-0005-0000-0000-0000DB090000}"/>
    <cellStyle name="Note 2 2 3 7 3" xfId="2524" xr:uid="{00000000-0005-0000-0000-0000DC090000}"/>
    <cellStyle name="Note 2 2 3 7 4" xfId="2525" xr:uid="{00000000-0005-0000-0000-0000DD090000}"/>
    <cellStyle name="Note 2 2 3 7 5" xfId="2526" xr:uid="{00000000-0005-0000-0000-0000DE090000}"/>
    <cellStyle name="Note 2 2 3 8" xfId="2527" xr:uid="{00000000-0005-0000-0000-0000DF090000}"/>
    <cellStyle name="Note 2 2 3 8 2" xfId="2528" xr:uid="{00000000-0005-0000-0000-0000E0090000}"/>
    <cellStyle name="Note 2 2 3 8 3" xfId="2529" xr:uid="{00000000-0005-0000-0000-0000E1090000}"/>
    <cellStyle name="Note 2 2 3 8 4" xfId="2530" xr:uid="{00000000-0005-0000-0000-0000E2090000}"/>
    <cellStyle name="Note 2 2 3 8 5" xfId="2531" xr:uid="{00000000-0005-0000-0000-0000E3090000}"/>
    <cellStyle name="Note 2 2 3 9" xfId="2532" xr:uid="{00000000-0005-0000-0000-0000E4090000}"/>
    <cellStyle name="Note 2 2 3 9 2" xfId="2533" xr:uid="{00000000-0005-0000-0000-0000E5090000}"/>
    <cellStyle name="Note 2 2 3 9 3" xfId="2534" xr:uid="{00000000-0005-0000-0000-0000E6090000}"/>
    <cellStyle name="Note 2 2 3 9 4" xfId="2535" xr:uid="{00000000-0005-0000-0000-0000E7090000}"/>
    <cellStyle name="Note 2 2 3 9 5" xfId="2536" xr:uid="{00000000-0005-0000-0000-0000E8090000}"/>
    <cellStyle name="Note 2 2 4" xfId="2537" xr:uid="{00000000-0005-0000-0000-0000E9090000}"/>
    <cellStyle name="Note 2 2 4 10" xfId="2538" xr:uid="{00000000-0005-0000-0000-0000EA090000}"/>
    <cellStyle name="Note 2 2 4 10 2" xfId="2539" xr:uid="{00000000-0005-0000-0000-0000EB090000}"/>
    <cellStyle name="Note 2 2 4 10 3" xfId="2540" xr:uid="{00000000-0005-0000-0000-0000EC090000}"/>
    <cellStyle name="Note 2 2 4 10 4" xfId="2541" xr:uid="{00000000-0005-0000-0000-0000ED090000}"/>
    <cellStyle name="Note 2 2 4 10 5" xfId="2542" xr:uid="{00000000-0005-0000-0000-0000EE090000}"/>
    <cellStyle name="Note 2 2 4 11" xfId="2543" xr:uid="{00000000-0005-0000-0000-0000EF090000}"/>
    <cellStyle name="Note 2 2 4 11 2" xfId="2544" xr:uid="{00000000-0005-0000-0000-0000F0090000}"/>
    <cellStyle name="Note 2 2 4 11 3" xfId="2545" xr:uid="{00000000-0005-0000-0000-0000F1090000}"/>
    <cellStyle name="Note 2 2 4 11 4" xfId="2546" xr:uid="{00000000-0005-0000-0000-0000F2090000}"/>
    <cellStyle name="Note 2 2 4 11 5" xfId="2547" xr:uid="{00000000-0005-0000-0000-0000F3090000}"/>
    <cellStyle name="Note 2 2 4 12" xfId="2548" xr:uid="{00000000-0005-0000-0000-0000F4090000}"/>
    <cellStyle name="Note 2 2 4 12 2" xfId="2549" xr:uid="{00000000-0005-0000-0000-0000F5090000}"/>
    <cellStyle name="Note 2 2 4 12 3" xfId="2550" xr:uid="{00000000-0005-0000-0000-0000F6090000}"/>
    <cellStyle name="Note 2 2 4 12 4" xfId="2551" xr:uid="{00000000-0005-0000-0000-0000F7090000}"/>
    <cellStyle name="Note 2 2 4 12 5" xfId="2552" xr:uid="{00000000-0005-0000-0000-0000F8090000}"/>
    <cellStyle name="Note 2 2 4 13" xfId="2553" xr:uid="{00000000-0005-0000-0000-0000F9090000}"/>
    <cellStyle name="Note 2 2 4 13 2" xfId="2554" xr:uid="{00000000-0005-0000-0000-0000FA090000}"/>
    <cellStyle name="Note 2 2 4 13 3" xfId="2555" xr:uid="{00000000-0005-0000-0000-0000FB090000}"/>
    <cellStyle name="Note 2 2 4 13 4" xfId="2556" xr:uid="{00000000-0005-0000-0000-0000FC090000}"/>
    <cellStyle name="Note 2 2 4 13 5" xfId="2557" xr:uid="{00000000-0005-0000-0000-0000FD090000}"/>
    <cellStyle name="Note 2 2 4 14" xfId="2558" xr:uid="{00000000-0005-0000-0000-0000FE090000}"/>
    <cellStyle name="Note 2 2 4 14 2" xfId="2559" xr:uid="{00000000-0005-0000-0000-0000FF090000}"/>
    <cellStyle name="Note 2 2 4 14 3" xfId="2560" xr:uid="{00000000-0005-0000-0000-0000000A0000}"/>
    <cellStyle name="Note 2 2 4 14 4" xfId="2561" xr:uid="{00000000-0005-0000-0000-0000010A0000}"/>
    <cellStyle name="Note 2 2 4 14 5" xfId="2562" xr:uid="{00000000-0005-0000-0000-0000020A0000}"/>
    <cellStyle name="Note 2 2 4 15" xfId="2563" xr:uid="{00000000-0005-0000-0000-0000030A0000}"/>
    <cellStyle name="Note 2 2 4 15 2" xfId="2564" xr:uid="{00000000-0005-0000-0000-0000040A0000}"/>
    <cellStyle name="Note 2 2 4 15 3" xfId="2565" xr:uid="{00000000-0005-0000-0000-0000050A0000}"/>
    <cellStyle name="Note 2 2 4 15 4" xfId="2566" xr:uid="{00000000-0005-0000-0000-0000060A0000}"/>
    <cellStyle name="Note 2 2 4 15 5" xfId="2567" xr:uid="{00000000-0005-0000-0000-0000070A0000}"/>
    <cellStyle name="Note 2 2 4 16" xfId="2568" xr:uid="{00000000-0005-0000-0000-0000080A0000}"/>
    <cellStyle name="Note 2 2 4 16 2" xfId="2569" xr:uid="{00000000-0005-0000-0000-0000090A0000}"/>
    <cellStyle name="Note 2 2 4 16 3" xfId="2570" xr:uid="{00000000-0005-0000-0000-00000A0A0000}"/>
    <cellStyle name="Note 2 2 4 16 4" xfId="2571" xr:uid="{00000000-0005-0000-0000-00000B0A0000}"/>
    <cellStyle name="Note 2 2 4 16 5" xfId="2572" xr:uid="{00000000-0005-0000-0000-00000C0A0000}"/>
    <cellStyle name="Note 2 2 4 17" xfId="2573" xr:uid="{00000000-0005-0000-0000-00000D0A0000}"/>
    <cellStyle name="Note 2 2 4 17 2" xfId="2574" xr:uid="{00000000-0005-0000-0000-00000E0A0000}"/>
    <cellStyle name="Note 2 2 4 17 3" xfId="2575" xr:uid="{00000000-0005-0000-0000-00000F0A0000}"/>
    <cellStyle name="Note 2 2 4 17 4" xfId="2576" xr:uid="{00000000-0005-0000-0000-0000100A0000}"/>
    <cellStyle name="Note 2 2 4 17 5" xfId="2577" xr:uid="{00000000-0005-0000-0000-0000110A0000}"/>
    <cellStyle name="Note 2 2 4 18" xfId="2578" xr:uid="{00000000-0005-0000-0000-0000120A0000}"/>
    <cellStyle name="Note 2 2 4 18 2" xfId="2579" xr:uid="{00000000-0005-0000-0000-0000130A0000}"/>
    <cellStyle name="Note 2 2 4 18 3" xfId="2580" xr:uid="{00000000-0005-0000-0000-0000140A0000}"/>
    <cellStyle name="Note 2 2 4 18 4" xfId="2581" xr:uid="{00000000-0005-0000-0000-0000150A0000}"/>
    <cellStyle name="Note 2 2 4 18 5" xfId="2582" xr:uid="{00000000-0005-0000-0000-0000160A0000}"/>
    <cellStyle name="Note 2 2 4 19" xfId="2583" xr:uid="{00000000-0005-0000-0000-0000170A0000}"/>
    <cellStyle name="Note 2 2 4 19 2" xfId="2584" xr:uid="{00000000-0005-0000-0000-0000180A0000}"/>
    <cellStyle name="Note 2 2 4 19 3" xfId="2585" xr:uid="{00000000-0005-0000-0000-0000190A0000}"/>
    <cellStyle name="Note 2 2 4 19 4" xfId="2586" xr:uid="{00000000-0005-0000-0000-00001A0A0000}"/>
    <cellStyle name="Note 2 2 4 2" xfId="2587" xr:uid="{00000000-0005-0000-0000-00001B0A0000}"/>
    <cellStyle name="Note 2 2 4 2 2" xfId="2588" xr:uid="{00000000-0005-0000-0000-00001C0A0000}"/>
    <cellStyle name="Note 2 2 4 2 3" xfId="2589" xr:uid="{00000000-0005-0000-0000-00001D0A0000}"/>
    <cellStyle name="Note 2 2 4 2 4" xfId="2590" xr:uid="{00000000-0005-0000-0000-00001E0A0000}"/>
    <cellStyle name="Note 2 2 4 2 5" xfId="2591" xr:uid="{00000000-0005-0000-0000-00001F0A0000}"/>
    <cellStyle name="Note 2 2 4 20" xfId="2592" xr:uid="{00000000-0005-0000-0000-0000200A0000}"/>
    <cellStyle name="Note 2 2 4 20 2" xfId="2593" xr:uid="{00000000-0005-0000-0000-0000210A0000}"/>
    <cellStyle name="Note 2 2 4 20 3" xfId="2594" xr:uid="{00000000-0005-0000-0000-0000220A0000}"/>
    <cellStyle name="Note 2 2 4 20 4" xfId="2595" xr:uid="{00000000-0005-0000-0000-0000230A0000}"/>
    <cellStyle name="Note 2 2 4 21" xfId="2596" xr:uid="{00000000-0005-0000-0000-0000240A0000}"/>
    <cellStyle name="Note 2 2 4 21 2" xfId="2597" xr:uid="{00000000-0005-0000-0000-0000250A0000}"/>
    <cellStyle name="Note 2 2 4 21 3" xfId="2598" xr:uid="{00000000-0005-0000-0000-0000260A0000}"/>
    <cellStyle name="Note 2 2 4 21 4" xfId="2599" xr:uid="{00000000-0005-0000-0000-0000270A0000}"/>
    <cellStyle name="Note 2 2 4 22" xfId="2600" xr:uid="{00000000-0005-0000-0000-0000280A0000}"/>
    <cellStyle name="Note 2 2 4 22 2" xfId="2601" xr:uid="{00000000-0005-0000-0000-0000290A0000}"/>
    <cellStyle name="Note 2 2 4 22 3" xfId="2602" xr:uid="{00000000-0005-0000-0000-00002A0A0000}"/>
    <cellStyle name="Note 2 2 4 22 4" xfId="2603" xr:uid="{00000000-0005-0000-0000-00002B0A0000}"/>
    <cellStyle name="Note 2 2 4 23" xfId="2604" xr:uid="{00000000-0005-0000-0000-00002C0A0000}"/>
    <cellStyle name="Note 2 2 4 3" xfId="2605" xr:uid="{00000000-0005-0000-0000-00002D0A0000}"/>
    <cellStyle name="Note 2 2 4 3 2" xfId="2606" xr:uid="{00000000-0005-0000-0000-00002E0A0000}"/>
    <cellStyle name="Note 2 2 4 3 3" xfId="2607" xr:uid="{00000000-0005-0000-0000-00002F0A0000}"/>
    <cellStyle name="Note 2 2 4 3 4" xfId="2608" xr:uid="{00000000-0005-0000-0000-0000300A0000}"/>
    <cellStyle name="Note 2 2 4 3 5" xfId="2609" xr:uid="{00000000-0005-0000-0000-0000310A0000}"/>
    <cellStyle name="Note 2 2 4 4" xfId="2610" xr:uid="{00000000-0005-0000-0000-0000320A0000}"/>
    <cellStyle name="Note 2 2 4 4 2" xfId="2611" xr:uid="{00000000-0005-0000-0000-0000330A0000}"/>
    <cellStyle name="Note 2 2 4 4 3" xfId="2612" xr:uid="{00000000-0005-0000-0000-0000340A0000}"/>
    <cellStyle name="Note 2 2 4 4 4" xfId="2613" xr:uid="{00000000-0005-0000-0000-0000350A0000}"/>
    <cellStyle name="Note 2 2 4 4 5" xfId="2614" xr:uid="{00000000-0005-0000-0000-0000360A0000}"/>
    <cellStyle name="Note 2 2 4 5" xfId="2615" xr:uid="{00000000-0005-0000-0000-0000370A0000}"/>
    <cellStyle name="Note 2 2 4 5 2" xfId="2616" xr:uid="{00000000-0005-0000-0000-0000380A0000}"/>
    <cellStyle name="Note 2 2 4 5 3" xfId="2617" xr:uid="{00000000-0005-0000-0000-0000390A0000}"/>
    <cellStyle name="Note 2 2 4 5 4" xfId="2618" xr:uid="{00000000-0005-0000-0000-00003A0A0000}"/>
    <cellStyle name="Note 2 2 4 5 5" xfId="2619" xr:uid="{00000000-0005-0000-0000-00003B0A0000}"/>
    <cellStyle name="Note 2 2 4 6" xfId="2620" xr:uid="{00000000-0005-0000-0000-00003C0A0000}"/>
    <cellStyle name="Note 2 2 4 6 2" xfId="2621" xr:uid="{00000000-0005-0000-0000-00003D0A0000}"/>
    <cellStyle name="Note 2 2 4 6 3" xfId="2622" xr:uid="{00000000-0005-0000-0000-00003E0A0000}"/>
    <cellStyle name="Note 2 2 4 6 4" xfId="2623" xr:uid="{00000000-0005-0000-0000-00003F0A0000}"/>
    <cellStyle name="Note 2 2 4 6 5" xfId="2624" xr:uid="{00000000-0005-0000-0000-0000400A0000}"/>
    <cellStyle name="Note 2 2 4 7" xfId="2625" xr:uid="{00000000-0005-0000-0000-0000410A0000}"/>
    <cellStyle name="Note 2 2 4 7 2" xfId="2626" xr:uid="{00000000-0005-0000-0000-0000420A0000}"/>
    <cellStyle name="Note 2 2 4 7 3" xfId="2627" xr:uid="{00000000-0005-0000-0000-0000430A0000}"/>
    <cellStyle name="Note 2 2 4 7 4" xfId="2628" xr:uid="{00000000-0005-0000-0000-0000440A0000}"/>
    <cellStyle name="Note 2 2 4 7 5" xfId="2629" xr:uid="{00000000-0005-0000-0000-0000450A0000}"/>
    <cellStyle name="Note 2 2 4 8" xfId="2630" xr:uid="{00000000-0005-0000-0000-0000460A0000}"/>
    <cellStyle name="Note 2 2 4 8 2" xfId="2631" xr:uid="{00000000-0005-0000-0000-0000470A0000}"/>
    <cellStyle name="Note 2 2 4 8 3" xfId="2632" xr:uid="{00000000-0005-0000-0000-0000480A0000}"/>
    <cellStyle name="Note 2 2 4 8 4" xfId="2633" xr:uid="{00000000-0005-0000-0000-0000490A0000}"/>
    <cellStyle name="Note 2 2 4 8 5" xfId="2634" xr:uid="{00000000-0005-0000-0000-00004A0A0000}"/>
    <cellStyle name="Note 2 2 4 9" xfId="2635" xr:uid="{00000000-0005-0000-0000-00004B0A0000}"/>
    <cellStyle name="Note 2 2 4 9 2" xfId="2636" xr:uid="{00000000-0005-0000-0000-00004C0A0000}"/>
    <cellStyle name="Note 2 2 4 9 3" xfId="2637" xr:uid="{00000000-0005-0000-0000-00004D0A0000}"/>
    <cellStyle name="Note 2 2 4 9 4" xfId="2638" xr:uid="{00000000-0005-0000-0000-00004E0A0000}"/>
    <cellStyle name="Note 2 2 4 9 5" xfId="2639" xr:uid="{00000000-0005-0000-0000-00004F0A0000}"/>
    <cellStyle name="Note 2 2 5" xfId="2640" xr:uid="{00000000-0005-0000-0000-0000500A0000}"/>
    <cellStyle name="Note 2 2 5 10" xfId="2641" xr:uid="{00000000-0005-0000-0000-0000510A0000}"/>
    <cellStyle name="Note 2 2 5 10 2" xfId="2642" xr:uid="{00000000-0005-0000-0000-0000520A0000}"/>
    <cellStyle name="Note 2 2 5 10 3" xfId="2643" xr:uid="{00000000-0005-0000-0000-0000530A0000}"/>
    <cellStyle name="Note 2 2 5 10 4" xfId="2644" xr:uid="{00000000-0005-0000-0000-0000540A0000}"/>
    <cellStyle name="Note 2 2 5 10 5" xfId="2645" xr:uid="{00000000-0005-0000-0000-0000550A0000}"/>
    <cellStyle name="Note 2 2 5 11" xfId="2646" xr:uid="{00000000-0005-0000-0000-0000560A0000}"/>
    <cellStyle name="Note 2 2 5 11 2" xfId="2647" xr:uid="{00000000-0005-0000-0000-0000570A0000}"/>
    <cellStyle name="Note 2 2 5 11 3" xfId="2648" xr:uid="{00000000-0005-0000-0000-0000580A0000}"/>
    <cellStyle name="Note 2 2 5 11 4" xfId="2649" xr:uid="{00000000-0005-0000-0000-0000590A0000}"/>
    <cellStyle name="Note 2 2 5 11 5" xfId="2650" xr:uid="{00000000-0005-0000-0000-00005A0A0000}"/>
    <cellStyle name="Note 2 2 5 12" xfId="2651" xr:uid="{00000000-0005-0000-0000-00005B0A0000}"/>
    <cellStyle name="Note 2 2 5 12 2" xfId="2652" xr:uid="{00000000-0005-0000-0000-00005C0A0000}"/>
    <cellStyle name="Note 2 2 5 12 3" xfId="2653" xr:uid="{00000000-0005-0000-0000-00005D0A0000}"/>
    <cellStyle name="Note 2 2 5 12 4" xfId="2654" xr:uid="{00000000-0005-0000-0000-00005E0A0000}"/>
    <cellStyle name="Note 2 2 5 12 5" xfId="2655" xr:uid="{00000000-0005-0000-0000-00005F0A0000}"/>
    <cellStyle name="Note 2 2 5 13" xfId="2656" xr:uid="{00000000-0005-0000-0000-0000600A0000}"/>
    <cellStyle name="Note 2 2 5 13 2" xfId="2657" xr:uid="{00000000-0005-0000-0000-0000610A0000}"/>
    <cellStyle name="Note 2 2 5 13 3" xfId="2658" xr:uid="{00000000-0005-0000-0000-0000620A0000}"/>
    <cellStyle name="Note 2 2 5 13 4" xfId="2659" xr:uid="{00000000-0005-0000-0000-0000630A0000}"/>
    <cellStyle name="Note 2 2 5 13 5" xfId="2660" xr:uid="{00000000-0005-0000-0000-0000640A0000}"/>
    <cellStyle name="Note 2 2 5 14" xfId="2661" xr:uid="{00000000-0005-0000-0000-0000650A0000}"/>
    <cellStyle name="Note 2 2 5 14 2" xfId="2662" xr:uid="{00000000-0005-0000-0000-0000660A0000}"/>
    <cellStyle name="Note 2 2 5 14 3" xfId="2663" xr:uid="{00000000-0005-0000-0000-0000670A0000}"/>
    <cellStyle name="Note 2 2 5 14 4" xfId="2664" xr:uid="{00000000-0005-0000-0000-0000680A0000}"/>
    <cellStyle name="Note 2 2 5 14 5" xfId="2665" xr:uid="{00000000-0005-0000-0000-0000690A0000}"/>
    <cellStyle name="Note 2 2 5 15" xfId="2666" xr:uid="{00000000-0005-0000-0000-00006A0A0000}"/>
    <cellStyle name="Note 2 2 5 15 2" xfId="2667" xr:uid="{00000000-0005-0000-0000-00006B0A0000}"/>
    <cellStyle name="Note 2 2 5 15 3" xfId="2668" xr:uid="{00000000-0005-0000-0000-00006C0A0000}"/>
    <cellStyle name="Note 2 2 5 15 4" xfId="2669" xr:uid="{00000000-0005-0000-0000-00006D0A0000}"/>
    <cellStyle name="Note 2 2 5 15 5" xfId="2670" xr:uid="{00000000-0005-0000-0000-00006E0A0000}"/>
    <cellStyle name="Note 2 2 5 16" xfId="2671" xr:uid="{00000000-0005-0000-0000-00006F0A0000}"/>
    <cellStyle name="Note 2 2 5 16 2" xfId="2672" xr:uid="{00000000-0005-0000-0000-0000700A0000}"/>
    <cellStyle name="Note 2 2 5 16 3" xfId="2673" xr:uid="{00000000-0005-0000-0000-0000710A0000}"/>
    <cellStyle name="Note 2 2 5 16 4" xfId="2674" xr:uid="{00000000-0005-0000-0000-0000720A0000}"/>
    <cellStyle name="Note 2 2 5 16 5" xfId="2675" xr:uid="{00000000-0005-0000-0000-0000730A0000}"/>
    <cellStyle name="Note 2 2 5 17" xfId="2676" xr:uid="{00000000-0005-0000-0000-0000740A0000}"/>
    <cellStyle name="Note 2 2 5 17 2" xfId="2677" xr:uid="{00000000-0005-0000-0000-0000750A0000}"/>
    <cellStyle name="Note 2 2 5 17 3" xfId="2678" xr:uid="{00000000-0005-0000-0000-0000760A0000}"/>
    <cellStyle name="Note 2 2 5 17 4" xfId="2679" xr:uid="{00000000-0005-0000-0000-0000770A0000}"/>
    <cellStyle name="Note 2 2 5 17 5" xfId="2680" xr:uid="{00000000-0005-0000-0000-0000780A0000}"/>
    <cellStyle name="Note 2 2 5 18" xfId="2681" xr:uid="{00000000-0005-0000-0000-0000790A0000}"/>
    <cellStyle name="Note 2 2 5 18 2" xfId="2682" xr:uid="{00000000-0005-0000-0000-00007A0A0000}"/>
    <cellStyle name="Note 2 2 5 18 3" xfId="2683" xr:uid="{00000000-0005-0000-0000-00007B0A0000}"/>
    <cellStyle name="Note 2 2 5 18 4" xfId="2684" xr:uid="{00000000-0005-0000-0000-00007C0A0000}"/>
    <cellStyle name="Note 2 2 5 18 5" xfId="2685" xr:uid="{00000000-0005-0000-0000-00007D0A0000}"/>
    <cellStyle name="Note 2 2 5 19" xfId="2686" xr:uid="{00000000-0005-0000-0000-00007E0A0000}"/>
    <cellStyle name="Note 2 2 5 19 2" xfId="2687" xr:uid="{00000000-0005-0000-0000-00007F0A0000}"/>
    <cellStyle name="Note 2 2 5 19 3" xfId="2688" xr:uid="{00000000-0005-0000-0000-0000800A0000}"/>
    <cellStyle name="Note 2 2 5 19 4" xfId="2689" xr:uid="{00000000-0005-0000-0000-0000810A0000}"/>
    <cellStyle name="Note 2 2 5 2" xfId="2690" xr:uid="{00000000-0005-0000-0000-0000820A0000}"/>
    <cellStyle name="Note 2 2 5 2 2" xfId="2691" xr:uid="{00000000-0005-0000-0000-0000830A0000}"/>
    <cellStyle name="Note 2 2 5 2 3" xfId="2692" xr:uid="{00000000-0005-0000-0000-0000840A0000}"/>
    <cellStyle name="Note 2 2 5 2 4" xfId="2693" xr:uid="{00000000-0005-0000-0000-0000850A0000}"/>
    <cellStyle name="Note 2 2 5 2 5" xfId="2694" xr:uid="{00000000-0005-0000-0000-0000860A0000}"/>
    <cellStyle name="Note 2 2 5 20" xfId="2695" xr:uid="{00000000-0005-0000-0000-0000870A0000}"/>
    <cellStyle name="Note 2 2 5 20 2" xfId="2696" xr:uid="{00000000-0005-0000-0000-0000880A0000}"/>
    <cellStyle name="Note 2 2 5 20 3" xfId="2697" xr:uid="{00000000-0005-0000-0000-0000890A0000}"/>
    <cellStyle name="Note 2 2 5 20 4" xfId="2698" xr:uid="{00000000-0005-0000-0000-00008A0A0000}"/>
    <cellStyle name="Note 2 2 5 21" xfId="2699" xr:uid="{00000000-0005-0000-0000-00008B0A0000}"/>
    <cellStyle name="Note 2 2 5 21 2" xfId="2700" xr:uid="{00000000-0005-0000-0000-00008C0A0000}"/>
    <cellStyle name="Note 2 2 5 21 3" xfId="2701" xr:uid="{00000000-0005-0000-0000-00008D0A0000}"/>
    <cellStyle name="Note 2 2 5 21 4" xfId="2702" xr:uid="{00000000-0005-0000-0000-00008E0A0000}"/>
    <cellStyle name="Note 2 2 5 22" xfId="2703" xr:uid="{00000000-0005-0000-0000-00008F0A0000}"/>
    <cellStyle name="Note 2 2 5 22 2" xfId="2704" xr:uid="{00000000-0005-0000-0000-0000900A0000}"/>
    <cellStyle name="Note 2 2 5 22 3" xfId="2705" xr:uid="{00000000-0005-0000-0000-0000910A0000}"/>
    <cellStyle name="Note 2 2 5 22 4" xfId="2706" xr:uid="{00000000-0005-0000-0000-0000920A0000}"/>
    <cellStyle name="Note 2 2 5 23" xfId="2707" xr:uid="{00000000-0005-0000-0000-0000930A0000}"/>
    <cellStyle name="Note 2 2 5 3" xfId="2708" xr:uid="{00000000-0005-0000-0000-0000940A0000}"/>
    <cellStyle name="Note 2 2 5 3 2" xfId="2709" xr:uid="{00000000-0005-0000-0000-0000950A0000}"/>
    <cellStyle name="Note 2 2 5 3 3" xfId="2710" xr:uid="{00000000-0005-0000-0000-0000960A0000}"/>
    <cellStyle name="Note 2 2 5 3 4" xfId="2711" xr:uid="{00000000-0005-0000-0000-0000970A0000}"/>
    <cellStyle name="Note 2 2 5 3 5" xfId="2712" xr:uid="{00000000-0005-0000-0000-0000980A0000}"/>
    <cellStyle name="Note 2 2 5 4" xfId="2713" xr:uid="{00000000-0005-0000-0000-0000990A0000}"/>
    <cellStyle name="Note 2 2 5 4 2" xfId="2714" xr:uid="{00000000-0005-0000-0000-00009A0A0000}"/>
    <cellStyle name="Note 2 2 5 4 3" xfId="2715" xr:uid="{00000000-0005-0000-0000-00009B0A0000}"/>
    <cellStyle name="Note 2 2 5 4 4" xfId="2716" xr:uid="{00000000-0005-0000-0000-00009C0A0000}"/>
    <cellStyle name="Note 2 2 5 4 5" xfId="2717" xr:uid="{00000000-0005-0000-0000-00009D0A0000}"/>
    <cellStyle name="Note 2 2 5 5" xfId="2718" xr:uid="{00000000-0005-0000-0000-00009E0A0000}"/>
    <cellStyle name="Note 2 2 5 5 2" xfId="2719" xr:uid="{00000000-0005-0000-0000-00009F0A0000}"/>
    <cellStyle name="Note 2 2 5 5 3" xfId="2720" xr:uid="{00000000-0005-0000-0000-0000A00A0000}"/>
    <cellStyle name="Note 2 2 5 5 4" xfId="2721" xr:uid="{00000000-0005-0000-0000-0000A10A0000}"/>
    <cellStyle name="Note 2 2 5 5 5" xfId="2722" xr:uid="{00000000-0005-0000-0000-0000A20A0000}"/>
    <cellStyle name="Note 2 2 5 6" xfId="2723" xr:uid="{00000000-0005-0000-0000-0000A30A0000}"/>
    <cellStyle name="Note 2 2 5 6 2" xfId="2724" xr:uid="{00000000-0005-0000-0000-0000A40A0000}"/>
    <cellStyle name="Note 2 2 5 6 3" xfId="2725" xr:uid="{00000000-0005-0000-0000-0000A50A0000}"/>
    <cellStyle name="Note 2 2 5 6 4" xfId="2726" xr:uid="{00000000-0005-0000-0000-0000A60A0000}"/>
    <cellStyle name="Note 2 2 5 6 5" xfId="2727" xr:uid="{00000000-0005-0000-0000-0000A70A0000}"/>
    <cellStyle name="Note 2 2 5 7" xfId="2728" xr:uid="{00000000-0005-0000-0000-0000A80A0000}"/>
    <cellStyle name="Note 2 2 5 7 2" xfId="2729" xr:uid="{00000000-0005-0000-0000-0000A90A0000}"/>
    <cellStyle name="Note 2 2 5 7 3" xfId="2730" xr:uid="{00000000-0005-0000-0000-0000AA0A0000}"/>
    <cellStyle name="Note 2 2 5 7 4" xfId="2731" xr:uid="{00000000-0005-0000-0000-0000AB0A0000}"/>
    <cellStyle name="Note 2 2 5 7 5" xfId="2732" xr:uid="{00000000-0005-0000-0000-0000AC0A0000}"/>
    <cellStyle name="Note 2 2 5 8" xfId="2733" xr:uid="{00000000-0005-0000-0000-0000AD0A0000}"/>
    <cellStyle name="Note 2 2 5 8 2" xfId="2734" xr:uid="{00000000-0005-0000-0000-0000AE0A0000}"/>
    <cellStyle name="Note 2 2 5 8 3" xfId="2735" xr:uid="{00000000-0005-0000-0000-0000AF0A0000}"/>
    <cellStyle name="Note 2 2 5 8 4" xfId="2736" xr:uid="{00000000-0005-0000-0000-0000B00A0000}"/>
    <cellStyle name="Note 2 2 5 8 5" xfId="2737" xr:uid="{00000000-0005-0000-0000-0000B10A0000}"/>
    <cellStyle name="Note 2 2 5 9" xfId="2738" xr:uid="{00000000-0005-0000-0000-0000B20A0000}"/>
    <cellStyle name="Note 2 2 5 9 2" xfId="2739" xr:uid="{00000000-0005-0000-0000-0000B30A0000}"/>
    <cellStyle name="Note 2 2 5 9 3" xfId="2740" xr:uid="{00000000-0005-0000-0000-0000B40A0000}"/>
    <cellStyle name="Note 2 2 5 9 4" xfId="2741" xr:uid="{00000000-0005-0000-0000-0000B50A0000}"/>
    <cellStyle name="Note 2 2 5 9 5" xfId="2742" xr:uid="{00000000-0005-0000-0000-0000B60A0000}"/>
    <cellStyle name="Note 2 2 6" xfId="2743" xr:uid="{00000000-0005-0000-0000-0000B70A0000}"/>
    <cellStyle name="Note 2 2 6 10" xfId="2744" xr:uid="{00000000-0005-0000-0000-0000B80A0000}"/>
    <cellStyle name="Note 2 2 6 10 2" xfId="2745" xr:uid="{00000000-0005-0000-0000-0000B90A0000}"/>
    <cellStyle name="Note 2 2 6 10 3" xfId="2746" xr:uid="{00000000-0005-0000-0000-0000BA0A0000}"/>
    <cellStyle name="Note 2 2 6 10 4" xfId="2747" xr:uid="{00000000-0005-0000-0000-0000BB0A0000}"/>
    <cellStyle name="Note 2 2 6 10 5" xfId="2748" xr:uid="{00000000-0005-0000-0000-0000BC0A0000}"/>
    <cellStyle name="Note 2 2 6 11" xfId="2749" xr:uid="{00000000-0005-0000-0000-0000BD0A0000}"/>
    <cellStyle name="Note 2 2 6 11 2" xfId="2750" xr:uid="{00000000-0005-0000-0000-0000BE0A0000}"/>
    <cellStyle name="Note 2 2 6 11 3" xfId="2751" xr:uid="{00000000-0005-0000-0000-0000BF0A0000}"/>
    <cellStyle name="Note 2 2 6 11 4" xfId="2752" xr:uid="{00000000-0005-0000-0000-0000C00A0000}"/>
    <cellStyle name="Note 2 2 6 11 5" xfId="2753" xr:uid="{00000000-0005-0000-0000-0000C10A0000}"/>
    <cellStyle name="Note 2 2 6 12" xfId="2754" xr:uid="{00000000-0005-0000-0000-0000C20A0000}"/>
    <cellStyle name="Note 2 2 6 12 2" xfId="2755" xr:uid="{00000000-0005-0000-0000-0000C30A0000}"/>
    <cellStyle name="Note 2 2 6 12 3" xfId="2756" xr:uid="{00000000-0005-0000-0000-0000C40A0000}"/>
    <cellStyle name="Note 2 2 6 12 4" xfId="2757" xr:uid="{00000000-0005-0000-0000-0000C50A0000}"/>
    <cellStyle name="Note 2 2 6 12 5" xfId="2758" xr:uid="{00000000-0005-0000-0000-0000C60A0000}"/>
    <cellStyle name="Note 2 2 6 13" xfId="2759" xr:uid="{00000000-0005-0000-0000-0000C70A0000}"/>
    <cellStyle name="Note 2 2 6 13 2" xfId="2760" xr:uid="{00000000-0005-0000-0000-0000C80A0000}"/>
    <cellStyle name="Note 2 2 6 13 3" xfId="2761" xr:uid="{00000000-0005-0000-0000-0000C90A0000}"/>
    <cellStyle name="Note 2 2 6 13 4" xfId="2762" xr:uid="{00000000-0005-0000-0000-0000CA0A0000}"/>
    <cellStyle name="Note 2 2 6 13 5" xfId="2763" xr:uid="{00000000-0005-0000-0000-0000CB0A0000}"/>
    <cellStyle name="Note 2 2 6 14" xfId="2764" xr:uid="{00000000-0005-0000-0000-0000CC0A0000}"/>
    <cellStyle name="Note 2 2 6 14 2" xfId="2765" xr:uid="{00000000-0005-0000-0000-0000CD0A0000}"/>
    <cellStyle name="Note 2 2 6 14 3" xfId="2766" xr:uid="{00000000-0005-0000-0000-0000CE0A0000}"/>
    <cellStyle name="Note 2 2 6 14 4" xfId="2767" xr:uid="{00000000-0005-0000-0000-0000CF0A0000}"/>
    <cellStyle name="Note 2 2 6 14 5" xfId="2768" xr:uid="{00000000-0005-0000-0000-0000D00A0000}"/>
    <cellStyle name="Note 2 2 6 15" xfId="2769" xr:uid="{00000000-0005-0000-0000-0000D10A0000}"/>
    <cellStyle name="Note 2 2 6 15 2" xfId="2770" xr:uid="{00000000-0005-0000-0000-0000D20A0000}"/>
    <cellStyle name="Note 2 2 6 15 3" xfId="2771" xr:uid="{00000000-0005-0000-0000-0000D30A0000}"/>
    <cellStyle name="Note 2 2 6 15 4" xfId="2772" xr:uid="{00000000-0005-0000-0000-0000D40A0000}"/>
    <cellStyle name="Note 2 2 6 15 5" xfId="2773" xr:uid="{00000000-0005-0000-0000-0000D50A0000}"/>
    <cellStyle name="Note 2 2 6 16" xfId="2774" xr:uid="{00000000-0005-0000-0000-0000D60A0000}"/>
    <cellStyle name="Note 2 2 6 16 2" xfId="2775" xr:uid="{00000000-0005-0000-0000-0000D70A0000}"/>
    <cellStyle name="Note 2 2 6 16 3" xfId="2776" xr:uid="{00000000-0005-0000-0000-0000D80A0000}"/>
    <cellStyle name="Note 2 2 6 16 4" xfId="2777" xr:uid="{00000000-0005-0000-0000-0000D90A0000}"/>
    <cellStyle name="Note 2 2 6 16 5" xfId="2778" xr:uid="{00000000-0005-0000-0000-0000DA0A0000}"/>
    <cellStyle name="Note 2 2 6 17" xfId="2779" xr:uid="{00000000-0005-0000-0000-0000DB0A0000}"/>
    <cellStyle name="Note 2 2 6 17 2" xfId="2780" xr:uid="{00000000-0005-0000-0000-0000DC0A0000}"/>
    <cellStyle name="Note 2 2 6 17 3" xfId="2781" xr:uid="{00000000-0005-0000-0000-0000DD0A0000}"/>
    <cellStyle name="Note 2 2 6 17 4" xfId="2782" xr:uid="{00000000-0005-0000-0000-0000DE0A0000}"/>
    <cellStyle name="Note 2 2 6 17 5" xfId="2783" xr:uid="{00000000-0005-0000-0000-0000DF0A0000}"/>
    <cellStyle name="Note 2 2 6 18" xfId="2784" xr:uid="{00000000-0005-0000-0000-0000E00A0000}"/>
    <cellStyle name="Note 2 2 6 18 2" xfId="2785" xr:uid="{00000000-0005-0000-0000-0000E10A0000}"/>
    <cellStyle name="Note 2 2 6 18 3" xfId="2786" xr:uid="{00000000-0005-0000-0000-0000E20A0000}"/>
    <cellStyle name="Note 2 2 6 18 4" xfId="2787" xr:uid="{00000000-0005-0000-0000-0000E30A0000}"/>
    <cellStyle name="Note 2 2 6 18 5" xfId="2788" xr:uid="{00000000-0005-0000-0000-0000E40A0000}"/>
    <cellStyle name="Note 2 2 6 19" xfId="2789" xr:uid="{00000000-0005-0000-0000-0000E50A0000}"/>
    <cellStyle name="Note 2 2 6 19 2" xfId="2790" xr:uid="{00000000-0005-0000-0000-0000E60A0000}"/>
    <cellStyle name="Note 2 2 6 19 3" xfId="2791" xr:uid="{00000000-0005-0000-0000-0000E70A0000}"/>
    <cellStyle name="Note 2 2 6 19 4" xfId="2792" xr:uid="{00000000-0005-0000-0000-0000E80A0000}"/>
    <cellStyle name="Note 2 2 6 19 5" xfId="2793" xr:uid="{00000000-0005-0000-0000-0000E90A0000}"/>
    <cellStyle name="Note 2 2 6 2" xfId="2794" xr:uid="{00000000-0005-0000-0000-0000EA0A0000}"/>
    <cellStyle name="Note 2 2 6 2 2" xfId="2795" xr:uid="{00000000-0005-0000-0000-0000EB0A0000}"/>
    <cellStyle name="Note 2 2 6 2 3" xfId="2796" xr:uid="{00000000-0005-0000-0000-0000EC0A0000}"/>
    <cellStyle name="Note 2 2 6 2 4" xfId="2797" xr:uid="{00000000-0005-0000-0000-0000ED0A0000}"/>
    <cellStyle name="Note 2 2 6 2 5" xfId="2798" xr:uid="{00000000-0005-0000-0000-0000EE0A0000}"/>
    <cellStyle name="Note 2 2 6 20" xfId="2799" xr:uid="{00000000-0005-0000-0000-0000EF0A0000}"/>
    <cellStyle name="Note 2 2 6 20 2" xfId="2800" xr:uid="{00000000-0005-0000-0000-0000F00A0000}"/>
    <cellStyle name="Note 2 2 6 20 3" xfId="2801" xr:uid="{00000000-0005-0000-0000-0000F10A0000}"/>
    <cellStyle name="Note 2 2 6 20 4" xfId="2802" xr:uid="{00000000-0005-0000-0000-0000F20A0000}"/>
    <cellStyle name="Note 2 2 6 20 5" xfId="2803" xr:uid="{00000000-0005-0000-0000-0000F30A0000}"/>
    <cellStyle name="Note 2 2 6 21" xfId="2804" xr:uid="{00000000-0005-0000-0000-0000F40A0000}"/>
    <cellStyle name="Note 2 2 6 21 2" xfId="2805" xr:uid="{00000000-0005-0000-0000-0000F50A0000}"/>
    <cellStyle name="Note 2 2 6 21 3" xfId="2806" xr:uid="{00000000-0005-0000-0000-0000F60A0000}"/>
    <cellStyle name="Note 2 2 6 21 4" xfId="2807" xr:uid="{00000000-0005-0000-0000-0000F70A0000}"/>
    <cellStyle name="Note 2 2 6 21 5" xfId="2808" xr:uid="{00000000-0005-0000-0000-0000F80A0000}"/>
    <cellStyle name="Note 2 2 6 22" xfId="2809" xr:uid="{00000000-0005-0000-0000-0000F90A0000}"/>
    <cellStyle name="Note 2 2 6 22 2" xfId="2810" xr:uid="{00000000-0005-0000-0000-0000FA0A0000}"/>
    <cellStyle name="Note 2 2 6 22 3" xfId="2811" xr:uid="{00000000-0005-0000-0000-0000FB0A0000}"/>
    <cellStyle name="Note 2 2 6 22 4" xfId="2812" xr:uid="{00000000-0005-0000-0000-0000FC0A0000}"/>
    <cellStyle name="Note 2 2 6 23" xfId="2813" xr:uid="{00000000-0005-0000-0000-0000FD0A0000}"/>
    <cellStyle name="Note 2 2 6 23 2" xfId="2814" xr:uid="{00000000-0005-0000-0000-0000FE0A0000}"/>
    <cellStyle name="Note 2 2 6 23 3" xfId="2815" xr:uid="{00000000-0005-0000-0000-0000FF0A0000}"/>
    <cellStyle name="Note 2 2 6 23 4" xfId="2816" xr:uid="{00000000-0005-0000-0000-0000000B0000}"/>
    <cellStyle name="Note 2 2 6 24" xfId="2817" xr:uid="{00000000-0005-0000-0000-0000010B0000}"/>
    <cellStyle name="Note 2 2 6 24 2" xfId="2818" xr:uid="{00000000-0005-0000-0000-0000020B0000}"/>
    <cellStyle name="Note 2 2 6 24 3" xfId="2819" xr:uid="{00000000-0005-0000-0000-0000030B0000}"/>
    <cellStyle name="Note 2 2 6 24 4" xfId="2820" xr:uid="{00000000-0005-0000-0000-0000040B0000}"/>
    <cellStyle name="Note 2 2 6 25" xfId="2821" xr:uid="{00000000-0005-0000-0000-0000050B0000}"/>
    <cellStyle name="Note 2 2 6 25 2" xfId="2822" xr:uid="{00000000-0005-0000-0000-0000060B0000}"/>
    <cellStyle name="Note 2 2 6 25 3" xfId="2823" xr:uid="{00000000-0005-0000-0000-0000070B0000}"/>
    <cellStyle name="Note 2 2 6 25 4" xfId="2824" xr:uid="{00000000-0005-0000-0000-0000080B0000}"/>
    <cellStyle name="Note 2 2 6 3" xfId="2825" xr:uid="{00000000-0005-0000-0000-0000090B0000}"/>
    <cellStyle name="Note 2 2 6 3 2" xfId="2826" xr:uid="{00000000-0005-0000-0000-00000A0B0000}"/>
    <cellStyle name="Note 2 2 6 3 3" xfId="2827" xr:uid="{00000000-0005-0000-0000-00000B0B0000}"/>
    <cellStyle name="Note 2 2 6 3 4" xfId="2828" xr:uid="{00000000-0005-0000-0000-00000C0B0000}"/>
    <cellStyle name="Note 2 2 6 3 5" xfId="2829" xr:uid="{00000000-0005-0000-0000-00000D0B0000}"/>
    <cellStyle name="Note 2 2 6 4" xfId="2830" xr:uid="{00000000-0005-0000-0000-00000E0B0000}"/>
    <cellStyle name="Note 2 2 6 4 2" xfId="2831" xr:uid="{00000000-0005-0000-0000-00000F0B0000}"/>
    <cellStyle name="Note 2 2 6 4 3" xfId="2832" xr:uid="{00000000-0005-0000-0000-0000100B0000}"/>
    <cellStyle name="Note 2 2 6 4 4" xfId="2833" xr:uid="{00000000-0005-0000-0000-0000110B0000}"/>
    <cellStyle name="Note 2 2 6 4 5" xfId="2834" xr:uid="{00000000-0005-0000-0000-0000120B0000}"/>
    <cellStyle name="Note 2 2 6 5" xfId="2835" xr:uid="{00000000-0005-0000-0000-0000130B0000}"/>
    <cellStyle name="Note 2 2 6 5 2" xfId="2836" xr:uid="{00000000-0005-0000-0000-0000140B0000}"/>
    <cellStyle name="Note 2 2 6 5 3" xfId="2837" xr:uid="{00000000-0005-0000-0000-0000150B0000}"/>
    <cellStyle name="Note 2 2 6 5 4" xfId="2838" xr:uid="{00000000-0005-0000-0000-0000160B0000}"/>
    <cellStyle name="Note 2 2 6 5 5" xfId="2839" xr:uid="{00000000-0005-0000-0000-0000170B0000}"/>
    <cellStyle name="Note 2 2 6 6" xfId="2840" xr:uid="{00000000-0005-0000-0000-0000180B0000}"/>
    <cellStyle name="Note 2 2 6 6 2" xfId="2841" xr:uid="{00000000-0005-0000-0000-0000190B0000}"/>
    <cellStyle name="Note 2 2 6 6 3" xfId="2842" xr:uid="{00000000-0005-0000-0000-00001A0B0000}"/>
    <cellStyle name="Note 2 2 6 6 4" xfId="2843" xr:uid="{00000000-0005-0000-0000-00001B0B0000}"/>
    <cellStyle name="Note 2 2 6 6 5" xfId="2844" xr:uid="{00000000-0005-0000-0000-00001C0B0000}"/>
    <cellStyle name="Note 2 2 6 7" xfId="2845" xr:uid="{00000000-0005-0000-0000-00001D0B0000}"/>
    <cellStyle name="Note 2 2 6 7 2" xfId="2846" xr:uid="{00000000-0005-0000-0000-00001E0B0000}"/>
    <cellStyle name="Note 2 2 6 7 3" xfId="2847" xr:uid="{00000000-0005-0000-0000-00001F0B0000}"/>
    <cellStyle name="Note 2 2 6 7 4" xfId="2848" xr:uid="{00000000-0005-0000-0000-0000200B0000}"/>
    <cellStyle name="Note 2 2 6 7 5" xfId="2849" xr:uid="{00000000-0005-0000-0000-0000210B0000}"/>
    <cellStyle name="Note 2 2 6 8" xfId="2850" xr:uid="{00000000-0005-0000-0000-0000220B0000}"/>
    <cellStyle name="Note 2 2 6 8 2" xfId="2851" xr:uid="{00000000-0005-0000-0000-0000230B0000}"/>
    <cellStyle name="Note 2 2 6 8 3" xfId="2852" xr:uid="{00000000-0005-0000-0000-0000240B0000}"/>
    <cellStyle name="Note 2 2 6 8 4" xfId="2853" xr:uid="{00000000-0005-0000-0000-0000250B0000}"/>
    <cellStyle name="Note 2 2 6 8 5" xfId="2854" xr:uid="{00000000-0005-0000-0000-0000260B0000}"/>
    <cellStyle name="Note 2 2 6 9" xfId="2855" xr:uid="{00000000-0005-0000-0000-0000270B0000}"/>
    <cellStyle name="Note 2 2 6 9 2" xfId="2856" xr:uid="{00000000-0005-0000-0000-0000280B0000}"/>
    <cellStyle name="Note 2 2 6 9 3" xfId="2857" xr:uid="{00000000-0005-0000-0000-0000290B0000}"/>
    <cellStyle name="Note 2 2 6 9 4" xfId="2858" xr:uid="{00000000-0005-0000-0000-00002A0B0000}"/>
    <cellStyle name="Note 2 2 6 9 5" xfId="2859" xr:uid="{00000000-0005-0000-0000-00002B0B0000}"/>
    <cellStyle name="Note 2 2 7" xfId="2860" xr:uid="{00000000-0005-0000-0000-00002C0B0000}"/>
    <cellStyle name="Note 2 2 7 2" xfId="2861" xr:uid="{00000000-0005-0000-0000-00002D0B0000}"/>
    <cellStyle name="Note 2 2 7 3" xfId="2862" xr:uid="{00000000-0005-0000-0000-00002E0B0000}"/>
    <cellStyle name="Note 2 2 7 4" xfId="2863" xr:uid="{00000000-0005-0000-0000-00002F0B0000}"/>
    <cellStyle name="Note 2 2 7 5" xfId="2864" xr:uid="{00000000-0005-0000-0000-0000300B0000}"/>
    <cellStyle name="Note 2 2 8" xfId="2865" xr:uid="{00000000-0005-0000-0000-0000310B0000}"/>
    <cellStyle name="Note 2 2 8 2" xfId="2866" xr:uid="{00000000-0005-0000-0000-0000320B0000}"/>
    <cellStyle name="Note 2 2 8 3" xfId="2867" xr:uid="{00000000-0005-0000-0000-0000330B0000}"/>
    <cellStyle name="Note 2 2 8 4" xfId="2868" xr:uid="{00000000-0005-0000-0000-0000340B0000}"/>
    <cellStyle name="Note 2 2 8 5" xfId="2869" xr:uid="{00000000-0005-0000-0000-0000350B0000}"/>
    <cellStyle name="Note 2 2 9" xfId="2870" xr:uid="{00000000-0005-0000-0000-0000360B0000}"/>
    <cellStyle name="Note 2 2 9 2" xfId="2871" xr:uid="{00000000-0005-0000-0000-0000370B0000}"/>
    <cellStyle name="Note 2 2 9 3" xfId="2872" xr:uid="{00000000-0005-0000-0000-0000380B0000}"/>
    <cellStyle name="Note 2 2 9 4" xfId="2873" xr:uid="{00000000-0005-0000-0000-0000390B0000}"/>
    <cellStyle name="Note 2 2 9 5" xfId="2874" xr:uid="{00000000-0005-0000-0000-00003A0B0000}"/>
    <cellStyle name="Note 2 3" xfId="143" xr:uid="{00000000-0005-0000-0000-00003B0B0000}"/>
    <cellStyle name="Note 2 3 2" xfId="144" xr:uid="{00000000-0005-0000-0000-00003C0B0000}"/>
    <cellStyle name="Note 2 3 3" xfId="2875" xr:uid="{00000000-0005-0000-0000-00003D0B0000}"/>
    <cellStyle name="Note 2 4" xfId="145" xr:uid="{00000000-0005-0000-0000-00003E0B0000}"/>
    <cellStyle name="Note 2 4 2" xfId="146" xr:uid="{00000000-0005-0000-0000-00003F0B0000}"/>
    <cellStyle name="Note 2 5" xfId="147" xr:uid="{00000000-0005-0000-0000-0000400B0000}"/>
    <cellStyle name="Note 2 5 2" xfId="148" xr:uid="{00000000-0005-0000-0000-0000410B0000}"/>
    <cellStyle name="Note 2 6" xfId="149" xr:uid="{00000000-0005-0000-0000-0000420B0000}"/>
    <cellStyle name="Note 2 6 2" xfId="150" xr:uid="{00000000-0005-0000-0000-0000430B0000}"/>
    <cellStyle name="Note 3" xfId="151" xr:uid="{00000000-0005-0000-0000-0000440B0000}"/>
    <cellStyle name="Note 3 2" xfId="152" xr:uid="{00000000-0005-0000-0000-0000450B0000}"/>
    <cellStyle name="Note 3 2 2" xfId="153" xr:uid="{00000000-0005-0000-0000-0000460B0000}"/>
    <cellStyle name="Note 3 2 3" xfId="2876" xr:uid="{00000000-0005-0000-0000-0000470B0000}"/>
    <cellStyle name="Note 3 3" xfId="154" xr:uid="{00000000-0005-0000-0000-0000480B0000}"/>
    <cellStyle name="Note 3 3 2" xfId="155" xr:uid="{00000000-0005-0000-0000-0000490B0000}"/>
    <cellStyle name="Note 3 4" xfId="156" xr:uid="{00000000-0005-0000-0000-00004A0B0000}"/>
    <cellStyle name="Note 3 5" xfId="2877" xr:uid="{00000000-0005-0000-0000-00004B0B0000}"/>
    <cellStyle name="Note 4" xfId="157" xr:uid="{00000000-0005-0000-0000-00004C0B0000}"/>
    <cellStyle name="Note 4 2" xfId="158" xr:uid="{00000000-0005-0000-0000-00004D0B0000}"/>
    <cellStyle name="Note 4 3" xfId="2878" xr:uid="{00000000-0005-0000-0000-00004E0B0000}"/>
    <cellStyle name="Note 5" xfId="159" xr:uid="{00000000-0005-0000-0000-00004F0B0000}"/>
    <cellStyle name="Note 5 2" xfId="160" xr:uid="{00000000-0005-0000-0000-0000500B0000}"/>
    <cellStyle name="Note 6" xfId="161" xr:uid="{00000000-0005-0000-0000-0000510B0000}"/>
    <cellStyle name="Note 6 2" xfId="162" xr:uid="{00000000-0005-0000-0000-0000520B0000}"/>
    <cellStyle name="Note 7" xfId="163" xr:uid="{00000000-0005-0000-0000-0000530B0000}"/>
    <cellStyle name="Note 7 2" xfId="164" xr:uid="{00000000-0005-0000-0000-0000540B0000}"/>
    <cellStyle name="Note 8" xfId="165" xr:uid="{00000000-0005-0000-0000-0000550B0000}"/>
    <cellStyle name="Note 8 2" xfId="166" xr:uid="{00000000-0005-0000-0000-0000560B0000}"/>
    <cellStyle name="Number" xfId="167" xr:uid="{00000000-0005-0000-0000-0000570B0000}"/>
    <cellStyle name="Number 2" xfId="2879" xr:uid="{00000000-0005-0000-0000-0000580B0000}"/>
    <cellStyle name="Output 2" xfId="168" xr:uid="{00000000-0005-0000-0000-0000590B0000}"/>
    <cellStyle name="Output 2 10" xfId="2880" xr:uid="{00000000-0005-0000-0000-00005A0B0000}"/>
    <cellStyle name="Output 2 10 2" xfId="2881" xr:uid="{00000000-0005-0000-0000-00005B0B0000}"/>
    <cellStyle name="Output 2 10 3" xfId="2882" xr:uid="{00000000-0005-0000-0000-00005C0B0000}"/>
    <cellStyle name="Output 2 10 4" xfId="2883" xr:uid="{00000000-0005-0000-0000-00005D0B0000}"/>
    <cellStyle name="Output 2 10 5" xfId="2884" xr:uid="{00000000-0005-0000-0000-00005E0B0000}"/>
    <cellStyle name="Output 2 11" xfId="2885" xr:uid="{00000000-0005-0000-0000-00005F0B0000}"/>
    <cellStyle name="Output 2 11 2" xfId="2886" xr:uid="{00000000-0005-0000-0000-0000600B0000}"/>
    <cellStyle name="Output 2 11 3" xfId="2887" xr:uid="{00000000-0005-0000-0000-0000610B0000}"/>
    <cellStyle name="Output 2 11 4" xfId="2888" xr:uid="{00000000-0005-0000-0000-0000620B0000}"/>
    <cellStyle name="Output 2 11 5" xfId="2889" xr:uid="{00000000-0005-0000-0000-0000630B0000}"/>
    <cellStyle name="Output 2 12" xfId="2890" xr:uid="{00000000-0005-0000-0000-0000640B0000}"/>
    <cellStyle name="Output 2 12 2" xfId="2891" xr:uid="{00000000-0005-0000-0000-0000650B0000}"/>
    <cellStyle name="Output 2 12 3" xfId="2892" xr:uid="{00000000-0005-0000-0000-0000660B0000}"/>
    <cellStyle name="Output 2 12 4" xfId="2893" xr:uid="{00000000-0005-0000-0000-0000670B0000}"/>
    <cellStyle name="Output 2 12 5" xfId="2894" xr:uid="{00000000-0005-0000-0000-0000680B0000}"/>
    <cellStyle name="Output 2 13" xfId="2895" xr:uid="{00000000-0005-0000-0000-0000690B0000}"/>
    <cellStyle name="Output 2 13 2" xfId="2896" xr:uid="{00000000-0005-0000-0000-00006A0B0000}"/>
    <cellStyle name="Output 2 13 3" xfId="2897" xr:uid="{00000000-0005-0000-0000-00006B0B0000}"/>
    <cellStyle name="Output 2 13 4" xfId="2898" xr:uid="{00000000-0005-0000-0000-00006C0B0000}"/>
    <cellStyle name="Output 2 14" xfId="2899" xr:uid="{00000000-0005-0000-0000-00006D0B0000}"/>
    <cellStyle name="Output 2 14 2" xfId="2900" xr:uid="{00000000-0005-0000-0000-00006E0B0000}"/>
    <cellStyle name="Output 2 14 3" xfId="2901" xr:uid="{00000000-0005-0000-0000-00006F0B0000}"/>
    <cellStyle name="Output 2 14 4" xfId="2902" xr:uid="{00000000-0005-0000-0000-0000700B0000}"/>
    <cellStyle name="Output 2 15" xfId="2903" xr:uid="{00000000-0005-0000-0000-0000710B0000}"/>
    <cellStyle name="Output 2 15 2" xfId="2904" xr:uid="{00000000-0005-0000-0000-0000720B0000}"/>
    <cellStyle name="Output 2 15 3" xfId="2905" xr:uid="{00000000-0005-0000-0000-0000730B0000}"/>
    <cellStyle name="Output 2 15 4" xfId="2906" xr:uid="{00000000-0005-0000-0000-0000740B0000}"/>
    <cellStyle name="Output 2 16" xfId="2907" xr:uid="{00000000-0005-0000-0000-0000750B0000}"/>
    <cellStyle name="Output 2 2" xfId="2908" xr:uid="{00000000-0005-0000-0000-0000760B0000}"/>
    <cellStyle name="Output 2 2 10" xfId="2909" xr:uid="{00000000-0005-0000-0000-0000770B0000}"/>
    <cellStyle name="Output 2 2 10 2" xfId="2910" xr:uid="{00000000-0005-0000-0000-0000780B0000}"/>
    <cellStyle name="Output 2 2 10 3" xfId="2911" xr:uid="{00000000-0005-0000-0000-0000790B0000}"/>
    <cellStyle name="Output 2 2 10 4" xfId="2912" xr:uid="{00000000-0005-0000-0000-00007A0B0000}"/>
    <cellStyle name="Output 2 2 10 5" xfId="2913" xr:uid="{00000000-0005-0000-0000-00007B0B0000}"/>
    <cellStyle name="Output 2 2 11" xfId="2914" xr:uid="{00000000-0005-0000-0000-00007C0B0000}"/>
    <cellStyle name="Output 2 2 11 2" xfId="2915" xr:uid="{00000000-0005-0000-0000-00007D0B0000}"/>
    <cellStyle name="Output 2 2 11 3" xfId="2916" xr:uid="{00000000-0005-0000-0000-00007E0B0000}"/>
    <cellStyle name="Output 2 2 11 4" xfId="2917" xr:uid="{00000000-0005-0000-0000-00007F0B0000}"/>
    <cellStyle name="Output 2 2 11 5" xfId="2918" xr:uid="{00000000-0005-0000-0000-0000800B0000}"/>
    <cellStyle name="Output 2 2 12" xfId="2919" xr:uid="{00000000-0005-0000-0000-0000810B0000}"/>
    <cellStyle name="Output 2 2 12 2" xfId="2920" xr:uid="{00000000-0005-0000-0000-0000820B0000}"/>
    <cellStyle name="Output 2 2 12 3" xfId="2921" xr:uid="{00000000-0005-0000-0000-0000830B0000}"/>
    <cellStyle name="Output 2 2 12 4" xfId="2922" xr:uid="{00000000-0005-0000-0000-0000840B0000}"/>
    <cellStyle name="Output 2 2 12 5" xfId="2923" xr:uid="{00000000-0005-0000-0000-0000850B0000}"/>
    <cellStyle name="Output 2 2 13" xfId="2924" xr:uid="{00000000-0005-0000-0000-0000860B0000}"/>
    <cellStyle name="Output 2 2 13 2" xfId="2925" xr:uid="{00000000-0005-0000-0000-0000870B0000}"/>
    <cellStyle name="Output 2 2 13 3" xfId="2926" xr:uid="{00000000-0005-0000-0000-0000880B0000}"/>
    <cellStyle name="Output 2 2 13 4" xfId="2927" xr:uid="{00000000-0005-0000-0000-0000890B0000}"/>
    <cellStyle name="Output 2 2 13 5" xfId="2928" xr:uid="{00000000-0005-0000-0000-00008A0B0000}"/>
    <cellStyle name="Output 2 2 14" xfId="2929" xr:uid="{00000000-0005-0000-0000-00008B0B0000}"/>
    <cellStyle name="Output 2 2 14 2" xfId="2930" xr:uid="{00000000-0005-0000-0000-00008C0B0000}"/>
    <cellStyle name="Output 2 2 14 3" xfId="2931" xr:uid="{00000000-0005-0000-0000-00008D0B0000}"/>
    <cellStyle name="Output 2 2 14 4" xfId="2932" xr:uid="{00000000-0005-0000-0000-00008E0B0000}"/>
    <cellStyle name="Output 2 2 15" xfId="2933" xr:uid="{00000000-0005-0000-0000-00008F0B0000}"/>
    <cellStyle name="Output 2 2 15 2" xfId="2934" xr:uid="{00000000-0005-0000-0000-0000900B0000}"/>
    <cellStyle name="Output 2 2 15 3" xfId="2935" xr:uid="{00000000-0005-0000-0000-0000910B0000}"/>
    <cellStyle name="Output 2 2 15 4" xfId="2936" xr:uid="{00000000-0005-0000-0000-0000920B0000}"/>
    <cellStyle name="Output 2 2 16" xfId="2937" xr:uid="{00000000-0005-0000-0000-0000930B0000}"/>
    <cellStyle name="Output 2 2 16 2" xfId="2938" xr:uid="{00000000-0005-0000-0000-0000940B0000}"/>
    <cellStyle name="Output 2 2 16 3" xfId="2939" xr:uid="{00000000-0005-0000-0000-0000950B0000}"/>
    <cellStyle name="Output 2 2 16 4" xfId="2940" xr:uid="{00000000-0005-0000-0000-0000960B0000}"/>
    <cellStyle name="Output 2 2 17" xfId="2941" xr:uid="{00000000-0005-0000-0000-0000970B0000}"/>
    <cellStyle name="Output 2 2 2" xfId="2942" xr:uid="{00000000-0005-0000-0000-0000980B0000}"/>
    <cellStyle name="Output 2 2 2 2" xfId="2943" xr:uid="{00000000-0005-0000-0000-0000990B0000}"/>
    <cellStyle name="Output 2 2 2 3" xfId="2944" xr:uid="{00000000-0005-0000-0000-00009A0B0000}"/>
    <cellStyle name="Output 2 2 2 4" xfId="2945" xr:uid="{00000000-0005-0000-0000-00009B0B0000}"/>
    <cellStyle name="Output 2 2 2 5" xfId="2946" xr:uid="{00000000-0005-0000-0000-00009C0B0000}"/>
    <cellStyle name="Output 2 2 3" xfId="2947" xr:uid="{00000000-0005-0000-0000-00009D0B0000}"/>
    <cellStyle name="Output 2 2 3 2" xfId="2948" xr:uid="{00000000-0005-0000-0000-00009E0B0000}"/>
    <cellStyle name="Output 2 2 3 3" xfId="2949" xr:uid="{00000000-0005-0000-0000-00009F0B0000}"/>
    <cellStyle name="Output 2 2 3 4" xfId="2950" xr:uid="{00000000-0005-0000-0000-0000A00B0000}"/>
    <cellStyle name="Output 2 2 3 5" xfId="2951" xr:uid="{00000000-0005-0000-0000-0000A10B0000}"/>
    <cellStyle name="Output 2 2 4" xfId="2952" xr:uid="{00000000-0005-0000-0000-0000A20B0000}"/>
    <cellStyle name="Output 2 2 4 2" xfId="2953" xr:uid="{00000000-0005-0000-0000-0000A30B0000}"/>
    <cellStyle name="Output 2 2 4 3" xfId="2954" xr:uid="{00000000-0005-0000-0000-0000A40B0000}"/>
    <cellStyle name="Output 2 2 4 4" xfId="2955" xr:uid="{00000000-0005-0000-0000-0000A50B0000}"/>
    <cellStyle name="Output 2 2 4 5" xfId="2956" xr:uid="{00000000-0005-0000-0000-0000A60B0000}"/>
    <cellStyle name="Output 2 2 5" xfId="2957" xr:uid="{00000000-0005-0000-0000-0000A70B0000}"/>
    <cellStyle name="Output 2 2 5 2" xfId="2958" xr:uid="{00000000-0005-0000-0000-0000A80B0000}"/>
    <cellStyle name="Output 2 2 5 3" xfId="2959" xr:uid="{00000000-0005-0000-0000-0000A90B0000}"/>
    <cellStyle name="Output 2 2 5 4" xfId="2960" xr:uid="{00000000-0005-0000-0000-0000AA0B0000}"/>
    <cellStyle name="Output 2 2 5 5" xfId="2961" xr:uid="{00000000-0005-0000-0000-0000AB0B0000}"/>
    <cellStyle name="Output 2 2 6" xfId="2962" xr:uid="{00000000-0005-0000-0000-0000AC0B0000}"/>
    <cellStyle name="Output 2 2 6 2" xfId="2963" xr:uid="{00000000-0005-0000-0000-0000AD0B0000}"/>
    <cellStyle name="Output 2 2 6 3" xfId="2964" xr:uid="{00000000-0005-0000-0000-0000AE0B0000}"/>
    <cellStyle name="Output 2 2 6 4" xfId="2965" xr:uid="{00000000-0005-0000-0000-0000AF0B0000}"/>
    <cellStyle name="Output 2 2 6 5" xfId="2966" xr:uid="{00000000-0005-0000-0000-0000B00B0000}"/>
    <cellStyle name="Output 2 2 7" xfId="2967" xr:uid="{00000000-0005-0000-0000-0000B10B0000}"/>
    <cellStyle name="Output 2 2 7 2" xfId="2968" xr:uid="{00000000-0005-0000-0000-0000B20B0000}"/>
    <cellStyle name="Output 2 2 7 3" xfId="2969" xr:uid="{00000000-0005-0000-0000-0000B30B0000}"/>
    <cellStyle name="Output 2 2 7 4" xfId="2970" xr:uid="{00000000-0005-0000-0000-0000B40B0000}"/>
    <cellStyle name="Output 2 2 7 5" xfId="2971" xr:uid="{00000000-0005-0000-0000-0000B50B0000}"/>
    <cellStyle name="Output 2 2 8" xfId="2972" xr:uid="{00000000-0005-0000-0000-0000B60B0000}"/>
    <cellStyle name="Output 2 2 8 2" xfId="2973" xr:uid="{00000000-0005-0000-0000-0000B70B0000}"/>
    <cellStyle name="Output 2 2 8 3" xfId="2974" xr:uid="{00000000-0005-0000-0000-0000B80B0000}"/>
    <cellStyle name="Output 2 2 8 4" xfId="2975" xr:uid="{00000000-0005-0000-0000-0000B90B0000}"/>
    <cellStyle name="Output 2 2 8 5" xfId="2976" xr:uid="{00000000-0005-0000-0000-0000BA0B0000}"/>
    <cellStyle name="Output 2 2 9" xfId="2977" xr:uid="{00000000-0005-0000-0000-0000BB0B0000}"/>
    <cellStyle name="Output 2 2 9 2" xfId="2978" xr:uid="{00000000-0005-0000-0000-0000BC0B0000}"/>
    <cellStyle name="Output 2 2 9 3" xfId="2979" xr:uid="{00000000-0005-0000-0000-0000BD0B0000}"/>
    <cellStyle name="Output 2 2 9 4" xfId="2980" xr:uid="{00000000-0005-0000-0000-0000BE0B0000}"/>
    <cellStyle name="Output 2 2 9 5" xfId="2981" xr:uid="{00000000-0005-0000-0000-0000BF0B0000}"/>
    <cellStyle name="Output 2 3" xfId="2982" xr:uid="{00000000-0005-0000-0000-0000C00B0000}"/>
    <cellStyle name="Output 2 3 10" xfId="2983" xr:uid="{00000000-0005-0000-0000-0000C10B0000}"/>
    <cellStyle name="Output 2 3 10 2" xfId="2984" xr:uid="{00000000-0005-0000-0000-0000C20B0000}"/>
    <cellStyle name="Output 2 3 10 3" xfId="2985" xr:uid="{00000000-0005-0000-0000-0000C30B0000}"/>
    <cellStyle name="Output 2 3 10 4" xfId="2986" xr:uid="{00000000-0005-0000-0000-0000C40B0000}"/>
    <cellStyle name="Output 2 3 10 5" xfId="2987" xr:uid="{00000000-0005-0000-0000-0000C50B0000}"/>
    <cellStyle name="Output 2 3 11" xfId="2988" xr:uid="{00000000-0005-0000-0000-0000C60B0000}"/>
    <cellStyle name="Output 2 3 11 2" xfId="2989" xr:uid="{00000000-0005-0000-0000-0000C70B0000}"/>
    <cellStyle name="Output 2 3 11 3" xfId="2990" xr:uid="{00000000-0005-0000-0000-0000C80B0000}"/>
    <cellStyle name="Output 2 3 11 4" xfId="2991" xr:uid="{00000000-0005-0000-0000-0000C90B0000}"/>
    <cellStyle name="Output 2 3 11 5" xfId="2992" xr:uid="{00000000-0005-0000-0000-0000CA0B0000}"/>
    <cellStyle name="Output 2 3 12" xfId="2993" xr:uid="{00000000-0005-0000-0000-0000CB0B0000}"/>
    <cellStyle name="Output 2 3 12 2" xfId="2994" xr:uid="{00000000-0005-0000-0000-0000CC0B0000}"/>
    <cellStyle name="Output 2 3 12 3" xfId="2995" xr:uid="{00000000-0005-0000-0000-0000CD0B0000}"/>
    <cellStyle name="Output 2 3 12 4" xfId="2996" xr:uid="{00000000-0005-0000-0000-0000CE0B0000}"/>
    <cellStyle name="Output 2 3 12 5" xfId="2997" xr:uid="{00000000-0005-0000-0000-0000CF0B0000}"/>
    <cellStyle name="Output 2 3 13" xfId="2998" xr:uid="{00000000-0005-0000-0000-0000D00B0000}"/>
    <cellStyle name="Output 2 3 13 2" xfId="2999" xr:uid="{00000000-0005-0000-0000-0000D10B0000}"/>
    <cellStyle name="Output 2 3 13 3" xfId="3000" xr:uid="{00000000-0005-0000-0000-0000D20B0000}"/>
    <cellStyle name="Output 2 3 13 4" xfId="3001" xr:uid="{00000000-0005-0000-0000-0000D30B0000}"/>
    <cellStyle name="Output 2 3 13 5" xfId="3002" xr:uid="{00000000-0005-0000-0000-0000D40B0000}"/>
    <cellStyle name="Output 2 3 14" xfId="3003" xr:uid="{00000000-0005-0000-0000-0000D50B0000}"/>
    <cellStyle name="Output 2 3 14 2" xfId="3004" xr:uid="{00000000-0005-0000-0000-0000D60B0000}"/>
    <cellStyle name="Output 2 3 14 3" xfId="3005" xr:uid="{00000000-0005-0000-0000-0000D70B0000}"/>
    <cellStyle name="Output 2 3 14 4" xfId="3006" xr:uid="{00000000-0005-0000-0000-0000D80B0000}"/>
    <cellStyle name="Output 2 3 15" xfId="3007" xr:uid="{00000000-0005-0000-0000-0000D90B0000}"/>
    <cellStyle name="Output 2 3 15 2" xfId="3008" xr:uid="{00000000-0005-0000-0000-0000DA0B0000}"/>
    <cellStyle name="Output 2 3 15 3" xfId="3009" xr:uid="{00000000-0005-0000-0000-0000DB0B0000}"/>
    <cellStyle name="Output 2 3 15 4" xfId="3010" xr:uid="{00000000-0005-0000-0000-0000DC0B0000}"/>
    <cellStyle name="Output 2 3 16" xfId="3011" xr:uid="{00000000-0005-0000-0000-0000DD0B0000}"/>
    <cellStyle name="Output 2 3 16 2" xfId="3012" xr:uid="{00000000-0005-0000-0000-0000DE0B0000}"/>
    <cellStyle name="Output 2 3 16 3" xfId="3013" xr:uid="{00000000-0005-0000-0000-0000DF0B0000}"/>
    <cellStyle name="Output 2 3 16 4" xfId="3014" xr:uid="{00000000-0005-0000-0000-0000E00B0000}"/>
    <cellStyle name="Output 2 3 17" xfId="3015" xr:uid="{00000000-0005-0000-0000-0000E10B0000}"/>
    <cellStyle name="Output 2 3 2" xfId="3016" xr:uid="{00000000-0005-0000-0000-0000E20B0000}"/>
    <cellStyle name="Output 2 3 2 2" xfId="3017" xr:uid="{00000000-0005-0000-0000-0000E30B0000}"/>
    <cellStyle name="Output 2 3 2 3" xfId="3018" xr:uid="{00000000-0005-0000-0000-0000E40B0000}"/>
    <cellStyle name="Output 2 3 2 4" xfId="3019" xr:uid="{00000000-0005-0000-0000-0000E50B0000}"/>
    <cellStyle name="Output 2 3 2 5" xfId="3020" xr:uid="{00000000-0005-0000-0000-0000E60B0000}"/>
    <cellStyle name="Output 2 3 3" xfId="3021" xr:uid="{00000000-0005-0000-0000-0000E70B0000}"/>
    <cellStyle name="Output 2 3 3 2" xfId="3022" xr:uid="{00000000-0005-0000-0000-0000E80B0000}"/>
    <cellStyle name="Output 2 3 3 3" xfId="3023" xr:uid="{00000000-0005-0000-0000-0000E90B0000}"/>
    <cellStyle name="Output 2 3 3 4" xfId="3024" xr:uid="{00000000-0005-0000-0000-0000EA0B0000}"/>
    <cellStyle name="Output 2 3 3 5" xfId="3025" xr:uid="{00000000-0005-0000-0000-0000EB0B0000}"/>
    <cellStyle name="Output 2 3 4" xfId="3026" xr:uid="{00000000-0005-0000-0000-0000EC0B0000}"/>
    <cellStyle name="Output 2 3 4 2" xfId="3027" xr:uid="{00000000-0005-0000-0000-0000ED0B0000}"/>
    <cellStyle name="Output 2 3 4 3" xfId="3028" xr:uid="{00000000-0005-0000-0000-0000EE0B0000}"/>
    <cellStyle name="Output 2 3 4 4" xfId="3029" xr:uid="{00000000-0005-0000-0000-0000EF0B0000}"/>
    <cellStyle name="Output 2 3 4 5" xfId="3030" xr:uid="{00000000-0005-0000-0000-0000F00B0000}"/>
    <cellStyle name="Output 2 3 5" xfId="3031" xr:uid="{00000000-0005-0000-0000-0000F10B0000}"/>
    <cellStyle name="Output 2 3 5 2" xfId="3032" xr:uid="{00000000-0005-0000-0000-0000F20B0000}"/>
    <cellStyle name="Output 2 3 5 3" xfId="3033" xr:uid="{00000000-0005-0000-0000-0000F30B0000}"/>
    <cellStyle name="Output 2 3 5 4" xfId="3034" xr:uid="{00000000-0005-0000-0000-0000F40B0000}"/>
    <cellStyle name="Output 2 3 5 5" xfId="3035" xr:uid="{00000000-0005-0000-0000-0000F50B0000}"/>
    <cellStyle name="Output 2 3 6" xfId="3036" xr:uid="{00000000-0005-0000-0000-0000F60B0000}"/>
    <cellStyle name="Output 2 3 6 2" xfId="3037" xr:uid="{00000000-0005-0000-0000-0000F70B0000}"/>
    <cellStyle name="Output 2 3 6 3" xfId="3038" xr:uid="{00000000-0005-0000-0000-0000F80B0000}"/>
    <cellStyle name="Output 2 3 6 4" xfId="3039" xr:uid="{00000000-0005-0000-0000-0000F90B0000}"/>
    <cellStyle name="Output 2 3 6 5" xfId="3040" xr:uid="{00000000-0005-0000-0000-0000FA0B0000}"/>
    <cellStyle name="Output 2 3 7" xfId="3041" xr:uid="{00000000-0005-0000-0000-0000FB0B0000}"/>
    <cellStyle name="Output 2 3 7 2" xfId="3042" xr:uid="{00000000-0005-0000-0000-0000FC0B0000}"/>
    <cellStyle name="Output 2 3 7 3" xfId="3043" xr:uid="{00000000-0005-0000-0000-0000FD0B0000}"/>
    <cellStyle name="Output 2 3 7 4" xfId="3044" xr:uid="{00000000-0005-0000-0000-0000FE0B0000}"/>
    <cellStyle name="Output 2 3 7 5" xfId="3045" xr:uid="{00000000-0005-0000-0000-0000FF0B0000}"/>
    <cellStyle name="Output 2 3 8" xfId="3046" xr:uid="{00000000-0005-0000-0000-0000000C0000}"/>
    <cellStyle name="Output 2 3 8 2" xfId="3047" xr:uid="{00000000-0005-0000-0000-0000010C0000}"/>
    <cellStyle name="Output 2 3 8 3" xfId="3048" xr:uid="{00000000-0005-0000-0000-0000020C0000}"/>
    <cellStyle name="Output 2 3 8 4" xfId="3049" xr:uid="{00000000-0005-0000-0000-0000030C0000}"/>
    <cellStyle name="Output 2 3 8 5" xfId="3050" xr:uid="{00000000-0005-0000-0000-0000040C0000}"/>
    <cellStyle name="Output 2 3 9" xfId="3051" xr:uid="{00000000-0005-0000-0000-0000050C0000}"/>
    <cellStyle name="Output 2 3 9 2" xfId="3052" xr:uid="{00000000-0005-0000-0000-0000060C0000}"/>
    <cellStyle name="Output 2 3 9 3" xfId="3053" xr:uid="{00000000-0005-0000-0000-0000070C0000}"/>
    <cellStyle name="Output 2 3 9 4" xfId="3054" xr:uid="{00000000-0005-0000-0000-0000080C0000}"/>
    <cellStyle name="Output 2 3 9 5" xfId="3055" xr:uid="{00000000-0005-0000-0000-0000090C0000}"/>
    <cellStyle name="Output 2 4" xfId="3056" xr:uid="{00000000-0005-0000-0000-00000A0C0000}"/>
    <cellStyle name="Output 2 4 10" xfId="3057" xr:uid="{00000000-0005-0000-0000-00000B0C0000}"/>
    <cellStyle name="Output 2 4 10 2" xfId="3058" xr:uid="{00000000-0005-0000-0000-00000C0C0000}"/>
    <cellStyle name="Output 2 4 10 3" xfId="3059" xr:uid="{00000000-0005-0000-0000-00000D0C0000}"/>
    <cellStyle name="Output 2 4 10 4" xfId="3060" xr:uid="{00000000-0005-0000-0000-00000E0C0000}"/>
    <cellStyle name="Output 2 4 10 5" xfId="3061" xr:uid="{00000000-0005-0000-0000-00000F0C0000}"/>
    <cellStyle name="Output 2 4 11" xfId="3062" xr:uid="{00000000-0005-0000-0000-0000100C0000}"/>
    <cellStyle name="Output 2 4 11 2" xfId="3063" xr:uid="{00000000-0005-0000-0000-0000110C0000}"/>
    <cellStyle name="Output 2 4 11 3" xfId="3064" xr:uid="{00000000-0005-0000-0000-0000120C0000}"/>
    <cellStyle name="Output 2 4 11 4" xfId="3065" xr:uid="{00000000-0005-0000-0000-0000130C0000}"/>
    <cellStyle name="Output 2 4 11 5" xfId="3066" xr:uid="{00000000-0005-0000-0000-0000140C0000}"/>
    <cellStyle name="Output 2 4 12" xfId="3067" xr:uid="{00000000-0005-0000-0000-0000150C0000}"/>
    <cellStyle name="Output 2 4 12 2" xfId="3068" xr:uid="{00000000-0005-0000-0000-0000160C0000}"/>
    <cellStyle name="Output 2 4 12 3" xfId="3069" xr:uid="{00000000-0005-0000-0000-0000170C0000}"/>
    <cellStyle name="Output 2 4 12 4" xfId="3070" xr:uid="{00000000-0005-0000-0000-0000180C0000}"/>
    <cellStyle name="Output 2 4 12 5" xfId="3071" xr:uid="{00000000-0005-0000-0000-0000190C0000}"/>
    <cellStyle name="Output 2 4 13" xfId="3072" xr:uid="{00000000-0005-0000-0000-00001A0C0000}"/>
    <cellStyle name="Output 2 4 13 2" xfId="3073" xr:uid="{00000000-0005-0000-0000-00001B0C0000}"/>
    <cellStyle name="Output 2 4 13 3" xfId="3074" xr:uid="{00000000-0005-0000-0000-00001C0C0000}"/>
    <cellStyle name="Output 2 4 13 4" xfId="3075" xr:uid="{00000000-0005-0000-0000-00001D0C0000}"/>
    <cellStyle name="Output 2 4 13 5" xfId="3076" xr:uid="{00000000-0005-0000-0000-00001E0C0000}"/>
    <cellStyle name="Output 2 4 14" xfId="3077" xr:uid="{00000000-0005-0000-0000-00001F0C0000}"/>
    <cellStyle name="Output 2 4 14 2" xfId="3078" xr:uid="{00000000-0005-0000-0000-0000200C0000}"/>
    <cellStyle name="Output 2 4 14 3" xfId="3079" xr:uid="{00000000-0005-0000-0000-0000210C0000}"/>
    <cellStyle name="Output 2 4 14 4" xfId="3080" xr:uid="{00000000-0005-0000-0000-0000220C0000}"/>
    <cellStyle name="Output 2 4 15" xfId="3081" xr:uid="{00000000-0005-0000-0000-0000230C0000}"/>
    <cellStyle name="Output 2 4 15 2" xfId="3082" xr:uid="{00000000-0005-0000-0000-0000240C0000}"/>
    <cellStyle name="Output 2 4 15 3" xfId="3083" xr:uid="{00000000-0005-0000-0000-0000250C0000}"/>
    <cellStyle name="Output 2 4 15 4" xfId="3084" xr:uid="{00000000-0005-0000-0000-0000260C0000}"/>
    <cellStyle name="Output 2 4 16" xfId="3085" xr:uid="{00000000-0005-0000-0000-0000270C0000}"/>
    <cellStyle name="Output 2 4 16 2" xfId="3086" xr:uid="{00000000-0005-0000-0000-0000280C0000}"/>
    <cellStyle name="Output 2 4 16 3" xfId="3087" xr:uid="{00000000-0005-0000-0000-0000290C0000}"/>
    <cellStyle name="Output 2 4 16 4" xfId="3088" xr:uid="{00000000-0005-0000-0000-00002A0C0000}"/>
    <cellStyle name="Output 2 4 17" xfId="3089" xr:uid="{00000000-0005-0000-0000-00002B0C0000}"/>
    <cellStyle name="Output 2 4 2" xfId="3090" xr:uid="{00000000-0005-0000-0000-00002C0C0000}"/>
    <cellStyle name="Output 2 4 2 2" xfId="3091" xr:uid="{00000000-0005-0000-0000-00002D0C0000}"/>
    <cellStyle name="Output 2 4 2 3" xfId="3092" xr:uid="{00000000-0005-0000-0000-00002E0C0000}"/>
    <cellStyle name="Output 2 4 2 4" xfId="3093" xr:uid="{00000000-0005-0000-0000-00002F0C0000}"/>
    <cellStyle name="Output 2 4 2 5" xfId="3094" xr:uid="{00000000-0005-0000-0000-0000300C0000}"/>
    <cellStyle name="Output 2 4 3" xfId="3095" xr:uid="{00000000-0005-0000-0000-0000310C0000}"/>
    <cellStyle name="Output 2 4 3 2" xfId="3096" xr:uid="{00000000-0005-0000-0000-0000320C0000}"/>
    <cellStyle name="Output 2 4 3 3" xfId="3097" xr:uid="{00000000-0005-0000-0000-0000330C0000}"/>
    <cellStyle name="Output 2 4 3 4" xfId="3098" xr:uid="{00000000-0005-0000-0000-0000340C0000}"/>
    <cellStyle name="Output 2 4 3 5" xfId="3099" xr:uid="{00000000-0005-0000-0000-0000350C0000}"/>
    <cellStyle name="Output 2 4 4" xfId="3100" xr:uid="{00000000-0005-0000-0000-0000360C0000}"/>
    <cellStyle name="Output 2 4 4 2" xfId="3101" xr:uid="{00000000-0005-0000-0000-0000370C0000}"/>
    <cellStyle name="Output 2 4 4 3" xfId="3102" xr:uid="{00000000-0005-0000-0000-0000380C0000}"/>
    <cellStyle name="Output 2 4 4 4" xfId="3103" xr:uid="{00000000-0005-0000-0000-0000390C0000}"/>
    <cellStyle name="Output 2 4 4 5" xfId="3104" xr:uid="{00000000-0005-0000-0000-00003A0C0000}"/>
    <cellStyle name="Output 2 4 5" xfId="3105" xr:uid="{00000000-0005-0000-0000-00003B0C0000}"/>
    <cellStyle name="Output 2 4 5 2" xfId="3106" xr:uid="{00000000-0005-0000-0000-00003C0C0000}"/>
    <cellStyle name="Output 2 4 5 3" xfId="3107" xr:uid="{00000000-0005-0000-0000-00003D0C0000}"/>
    <cellStyle name="Output 2 4 5 4" xfId="3108" xr:uid="{00000000-0005-0000-0000-00003E0C0000}"/>
    <cellStyle name="Output 2 4 5 5" xfId="3109" xr:uid="{00000000-0005-0000-0000-00003F0C0000}"/>
    <cellStyle name="Output 2 4 6" xfId="3110" xr:uid="{00000000-0005-0000-0000-0000400C0000}"/>
    <cellStyle name="Output 2 4 6 2" xfId="3111" xr:uid="{00000000-0005-0000-0000-0000410C0000}"/>
    <cellStyle name="Output 2 4 6 3" xfId="3112" xr:uid="{00000000-0005-0000-0000-0000420C0000}"/>
    <cellStyle name="Output 2 4 6 4" xfId="3113" xr:uid="{00000000-0005-0000-0000-0000430C0000}"/>
    <cellStyle name="Output 2 4 6 5" xfId="3114" xr:uid="{00000000-0005-0000-0000-0000440C0000}"/>
    <cellStyle name="Output 2 4 7" xfId="3115" xr:uid="{00000000-0005-0000-0000-0000450C0000}"/>
    <cellStyle name="Output 2 4 7 2" xfId="3116" xr:uid="{00000000-0005-0000-0000-0000460C0000}"/>
    <cellStyle name="Output 2 4 7 3" xfId="3117" xr:uid="{00000000-0005-0000-0000-0000470C0000}"/>
    <cellStyle name="Output 2 4 7 4" xfId="3118" xr:uid="{00000000-0005-0000-0000-0000480C0000}"/>
    <cellStyle name="Output 2 4 7 5" xfId="3119" xr:uid="{00000000-0005-0000-0000-0000490C0000}"/>
    <cellStyle name="Output 2 4 8" xfId="3120" xr:uid="{00000000-0005-0000-0000-00004A0C0000}"/>
    <cellStyle name="Output 2 4 8 2" xfId="3121" xr:uid="{00000000-0005-0000-0000-00004B0C0000}"/>
    <cellStyle name="Output 2 4 8 3" xfId="3122" xr:uid="{00000000-0005-0000-0000-00004C0C0000}"/>
    <cellStyle name="Output 2 4 8 4" xfId="3123" xr:uid="{00000000-0005-0000-0000-00004D0C0000}"/>
    <cellStyle name="Output 2 4 8 5" xfId="3124" xr:uid="{00000000-0005-0000-0000-00004E0C0000}"/>
    <cellStyle name="Output 2 4 9" xfId="3125" xr:uid="{00000000-0005-0000-0000-00004F0C0000}"/>
    <cellStyle name="Output 2 4 9 2" xfId="3126" xr:uid="{00000000-0005-0000-0000-0000500C0000}"/>
    <cellStyle name="Output 2 4 9 3" xfId="3127" xr:uid="{00000000-0005-0000-0000-0000510C0000}"/>
    <cellStyle name="Output 2 4 9 4" xfId="3128" xr:uid="{00000000-0005-0000-0000-0000520C0000}"/>
    <cellStyle name="Output 2 4 9 5" xfId="3129" xr:uid="{00000000-0005-0000-0000-0000530C0000}"/>
    <cellStyle name="Output 2 5" xfId="3130" xr:uid="{00000000-0005-0000-0000-0000540C0000}"/>
    <cellStyle name="Output 2 5 10" xfId="3131" xr:uid="{00000000-0005-0000-0000-0000550C0000}"/>
    <cellStyle name="Output 2 5 10 2" xfId="3132" xr:uid="{00000000-0005-0000-0000-0000560C0000}"/>
    <cellStyle name="Output 2 5 10 3" xfId="3133" xr:uid="{00000000-0005-0000-0000-0000570C0000}"/>
    <cellStyle name="Output 2 5 10 4" xfId="3134" xr:uid="{00000000-0005-0000-0000-0000580C0000}"/>
    <cellStyle name="Output 2 5 10 5" xfId="3135" xr:uid="{00000000-0005-0000-0000-0000590C0000}"/>
    <cellStyle name="Output 2 5 11" xfId="3136" xr:uid="{00000000-0005-0000-0000-00005A0C0000}"/>
    <cellStyle name="Output 2 5 11 2" xfId="3137" xr:uid="{00000000-0005-0000-0000-00005B0C0000}"/>
    <cellStyle name="Output 2 5 11 3" xfId="3138" xr:uid="{00000000-0005-0000-0000-00005C0C0000}"/>
    <cellStyle name="Output 2 5 11 4" xfId="3139" xr:uid="{00000000-0005-0000-0000-00005D0C0000}"/>
    <cellStyle name="Output 2 5 11 5" xfId="3140" xr:uid="{00000000-0005-0000-0000-00005E0C0000}"/>
    <cellStyle name="Output 2 5 12" xfId="3141" xr:uid="{00000000-0005-0000-0000-00005F0C0000}"/>
    <cellStyle name="Output 2 5 12 2" xfId="3142" xr:uid="{00000000-0005-0000-0000-0000600C0000}"/>
    <cellStyle name="Output 2 5 12 3" xfId="3143" xr:uid="{00000000-0005-0000-0000-0000610C0000}"/>
    <cellStyle name="Output 2 5 12 4" xfId="3144" xr:uid="{00000000-0005-0000-0000-0000620C0000}"/>
    <cellStyle name="Output 2 5 12 5" xfId="3145" xr:uid="{00000000-0005-0000-0000-0000630C0000}"/>
    <cellStyle name="Output 2 5 13" xfId="3146" xr:uid="{00000000-0005-0000-0000-0000640C0000}"/>
    <cellStyle name="Output 2 5 13 2" xfId="3147" xr:uid="{00000000-0005-0000-0000-0000650C0000}"/>
    <cellStyle name="Output 2 5 13 3" xfId="3148" xr:uid="{00000000-0005-0000-0000-0000660C0000}"/>
    <cellStyle name="Output 2 5 13 4" xfId="3149" xr:uid="{00000000-0005-0000-0000-0000670C0000}"/>
    <cellStyle name="Output 2 5 13 5" xfId="3150" xr:uid="{00000000-0005-0000-0000-0000680C0000}"/>
    <cellStyle name="Output 2 5 14" xfId="3151" xr:uid="{00000000-0005-0000-0000-0000690C0000}"/>
    <cellStyle name="Output 2 5 14 2" xfId="3152" xr:uid="{00000000-0005-0000-0000-00006A0C0000}"/>
    <cellStyle name="Output 2 5 14 3" xfId="3153" xr:uid="{00000000-0005-0000-0000-00006B0C0000}"/>
    <cellStyle name="Output 2 5 14 4" xfId="3154" xr:uid="{00000000-0005-0000-0000-00006C0C0000}"/>
    <cellStyle name="Output 2 5 15" xfId="3155" xr:uid="{00000000-0005-0000-0000-00006D0C0000}"/>
    <cellStyle name="Output 2 5 15 2" xfId="3156" xr:uid="{00000000-0005-0000-0000-00006E0C0000}"/>
    <cellStyle name="Output 2 5 15 3" xfId="3157" xr:uid="{00000000-0005-0000-0000-00006F0C0000}"/>
    <cellStyle name="Output 2 5 15 4" xfId="3158" xr:uid="{00000000-0005-0000-0000-0000700C0000}"/>
    <cellStyle name="Output 2 5 16" xfId="3159" xr:uid="{00000000-0005-0000-0000-0000710C0000}"/>
    <cellStyle name="Output 2 5 16 2" xfId="3160" xr:uid="{00000000-0005-0000-0000-0000720C0000}"/>
    <cellStyle name="Output 2 5 16 3" xfId="3161" xr:uid="{00000000-0005-0000-0000-0000730C0000}"/>
    <cellStyle name="Output 2 5 16 4" xfId="3162" xr:uid="{00000000-0005-0000-0000-0000740C0000}"/>
    <cellStyle name="Output 2 5 17" xfId="3163" xr:uid="{00000000-0005-0000-0000-0000750C0000}"/>
    <cellStyle name="Output 2 5 2" xfId="3164" xr:uid="{00000000-0005-0000-0000-0000760C0000}"/>
    <cellStyle name="Output 2 5 2 2" xfId="3165" xr:uid="{00000000-0005-0000-0000-0000770C0000}"/>
    <cellStyle name="Output 2 5 2 3" xfId="3166" xr:uid="{00000000-0005-0000-0000-0000780C0000}"/>
    <cellStyle name="Output 2 5 2 4" xfId="3167" xr:uid="{00000000-0005-0000-0000-0000790C0000}"/>
    <cellStyle name="Output 2 5 2 5" xfId="3168" xr:uid="{00000000-0005-0000-0000-00007A0C0000}"/>
    <cellStyle name="Output 2 5 3" xfId="3169" xr:uid="{00000000-0005-0000-0000-00007B0C0000}"/>
    <cellStyle name="Output 2 5 3 2" xfId="3170" xr:uid="{00000000-0005-0000-0000-00007C0C0000}"/>
    <cellStyle name="Output 2 5 3 3" xfId="3171" xr:uid="{00000000-0005-0000-0000-00007D0C0000}"/>
    <cellStyle name="Output 2 5 3 4" xfId="3172" xr:uid="{00000000-0005-0000-0000-00007E0C0000}"/>
    <cellStyle name="Output 2 5 3 5" xfId="3173" xr:uid="{00000000-0005-0000-0000-00007F0C0000}"/>
    <cellStyle name="Output 2 5 4" xfId="3174" xr:uid="{00000000-0005-0000-0000-0000800C0000}"/>
    <cellStyle name="Output 2 5 4 2" xfId="3175" xr:uid="{00000000-0005-0000-0000-0000810C0000}"/>
    <cellStyle name="Output 2 5 4 3" xfId="3176" xr:uid="{00000000-0005-0000-0000-0000820C0000}"/>
    <cellStyle name="Output 2 5 4 4" xfId="3177" xr:uid="{00000000-0005-0000-0000-0000830C0000}"/>
    <cellStyle name="Output 2 5 4 5" xfId="3178" xr:uid="{00000000-0005-0000-0000-0000840C0000}"/>
    <cellStyle name="Output 2 5 5" xfId="3179" xr:uid="{00000000-0005-0000-0000-0000850C0000}"/>
    <cellStyle name="Output 2 5 5 2" xfId="3180" xr:uid="{00000000-0005-0000-0000-0000860C0000}"/>
    <cellStyle name="Output 2 5 5 3" xfId="3181" xr:uid="{00000000-0005-0000-0000-0000870C0000}"/>
    <cellStyle name="Output 2 5 5 4" xfId="3182" xr:uid="{00000000-0005-0000-0000-0000880C0000}"/>
    <cellStyle name="Output 2 5 5 5" xfId="3183" xr:uid="{00000000-0005-0000-0000-0000890C0000}"/>
    <cellStyle name="Output 2 5 6" xfId="3184" xr:uid="{00000000-0005-0000-0000-00008A0C0000}"/>
    <cellStyle name="Output 2 5 6 2" xfId="3185" xr:uid="{00000000-0005-0000-0000-00008B0C0000}"/>
    <cellStyle name="Output 2 5 6 3" xfId="3186" xr:uid="{00000000-0005-0000-0000-00008C0C0000}"/>
    <cellStyle name="Output 2 5 6 4" xfId="3187" xr:uid="{00000000-0005-0000-0000-00008D0C0000}"/>
    <cellStyle name="Output 2 5 6 5" xfId="3188" xr:uid="{00000000-0005-0000-0000-00008E0C0000}"/>
    <cellStyle name="Output 2 5 7" xfId="3189" xr:uid="{00000000-0005-0000-0000-00008F0C0000}"/>
    <cellStyle name="Output 2 5 7 2" xfId="3190" xr:uid="{00000000-0005-0000-0000-0000900C0000}"/>
    <cellStyle name="Output 2 5 7 3" xfId="3191" xr:uid="{00000000-0005-0000-0000-0000910C0000}"/>
    <cellStyle name="Output 2 5 7 4" xfId="3192" xr:uid="{00000000-0005-0000-0000-0000920C0000}"/>
    <cellStyle name="Output 2 5 7 5" xfId="3193" xr:uid="{00000000-0005-0000-0000-0000930C0000}"/>
    <cellStyle name="Output 2 5 8" xfId="3194" xr:uid="{00000000-0005-0000-0000-0000940C0000}"/>
    <cellStyle name="Output 2 5 8 2" xfId="3195" xr:uid="{00000000-0005-0000-0000-0000950C0000}"/>
    <cellStyle name="Output 2 5 8 3" xfId="3196" xr:uid="{00000000-0005-0000-0000-0000960C0000}"/>
    <cellStyle name="Output 2 5 8 4" xfId="3197" xr:uid="{00000000-0005-0000-0000-0000970C0000}"/>
    <cellStyle name="Output 2 5 8 5" xfId="3198" xr:uid="{00000000-0005-0000-0000-0000980C0000}"/>
    <cellStyle name="Output 2 5 9" xfId="3199" xr:uid="{00000000-0005-0000-0000-0000990C0000}"/>
    <cellStyle name="Output 2 5 9 2" xfId="3200" xr:uid="{00000000-0005-0000-0000-00009A0C0000}"/>
    <cellStyle name="Output 2 5 9 3" xfId="3201" xr:uid="{00000000-0005-0000-0000-00009B0C0000}"/>
    <cellStyle name="Output 2 5 9 4" xfId="3202" xr:uid="{00000000-0005-0000-0000-00009C0C0000}"/>
    <cellStyle name="Output 2 5 9 5" xfId="3203" xr:uid="{00000000-0005-0000-0000-00009D0C0000}"/>
    <cellStyle name="Output 2 6" xfId="3204" xr:uid="{00000000-0005-0000-0000-00009E0C0000}"/>
    <cellStyle name="Output 2 6 10" xfId="3205" xr:uid="{00000000-0005-0000-0000-00009F0C0000}"/>
    <cellStyle name="Output 2 6 10 2" xfId="3206" xr:uid="{00000000-0005-0000-0000-0000A00C0000}"/>
    <cellStyle name="Output 2 6 10 3" xfId="3207" xr:uid="{00000000-0005-0000-0000-0000A10C0000}"/>
    <cellStyle name="Output 2 6 10 4" xfId="3208" xr:uid="{00000000-0005-0000-0000-0000A20C0000}"/>
    <cellStyle name="Output 2 6 10 5" xfId="3209" xr:uid="{00000000-0005-0000-0000-0000A30C0000}"/>
    <cellStyle name="Output 2 6 11" xfId="3210" xr:uid="{00000000-0005-0000-0000-0000A40C0000}"/>
    <cellStyle name="Output 2 6 11 2" xfId="3211" xr:uid="{00000000-0005-0000-0000-0000A50C0000}"/>
    <cellStyle name="Output 2 6 11 3" xfId="3212" xr:uid="{00000000-0005-0000-0000-0000A60C0000}"/>
    <cellStyle name="Output 2 6 11 4" xfId="3213" xr:uid="{00000000-0005-0000-0000-0000A70C0000}"/>
    <cellStyle name="Output 2 6 11 5" xfId="3214" xr:uid="{00000000-0005-0000-0000-0000A80C0000}"/>
    <cellStyle name="Output 2 6 12" xfId="3215" xr:uid="{00000000-0005-0000-0000-0000A90C0000}"/>
    <cellStyle name="Output 2 6 12 2" xfId="3216" xr:uid="{00000000-0005-0000-0000-0000AA0C0000}"/>
    <cellStyle name="Output 2 6 12 3" xfId="3217" xr:uid="{00000000-0005-0000-0000-0000AB0C0000}"/>
    <cellStyle name="Output 2 6 12 4" xfId="3218" xr:uid="{00000000-0005-0000-0000-0000AC0C0000}"/>
    <cellStyle name="Output 2 6 12 5" xfId="3219" xr:uid="{00000000-0005-0000-0000-0000AD0C0000}"/>
    <cellStyle name="Output 2 6 13" xfId="3220" xr:uid="{00000000-0005-0000-0000-0000AE0C0000}"/>
    <cellStyle name="Output 2 6 13 2" xfId="3221" xr:uid="{00000000-0005-0000-0000-0000AF0C0000}"/>
    <cellStyle name="Output 2 6 13 3" xfId="3222" xr:uid="{00000000-0005-0000-0000-0000B00C0000}"/>
    <cellStyle name="Output 2 6 13 4" xfId="3223" xr:uid="{00000000-0005-0000-0000-0000B10C0000}"/>
    <cellStyle name="Output 2 6 13 5" xfId="3224" xr:uid="{00000000-0005-0000-0000-0000B20C0000}"/>
    <cellStyle name="Output 2 6 14" xfId="3225" xr:uid="{00000000-0005-0000-0000-0000B30C0000}"/>
    <cellStyle name="Output 2 6 14 2" xfId="3226" xr:uid="{00000000-0005-0000-0000-0000B40C0000}"/>
    <cellStyle name="Output 2 6 14 3" xfId="3227" xr:uid="{00000000-0005-0000-0000-0000B50C0000}"/>
    <cellStyle name="Output 2 6 14 4" xfId="3228" xr:uid="{00000000-0005-0000-0000-0000B60C0000}"/>
    <cellStyle name="Output 2 6 14 5" xfId="3229" xr:uid="{00000000-0005-0000-0000-0000B70C0000}"/>
    <cellStyle name="Output 2 6 15" xfId="3230" xr:uid="{00000000-0005-0000-0000-0000B80C0000}"/>
    <cellStyle name="Output 2 6 15 2" xfId="3231" xr:uid="{00000000-0005-0000-0000-0000B90C0000}"/>
    <cellStyle name="Output 2 6 15 3" xfId="3232" xr:uid="{00000000-0005-0000-0000-0000BA0C0000}"/>
    <cellStyle name="Output 2 6 15 4" xfId="3233" xr:uid="{00000000-0005-0000-0000-0000BB0C0000}"/>
    <cellStyle name="Output 2 6 15 5" xfId="3234" xr:uid="{00000000-0005-0000-0000-0000BC0C0000}"/>
    <cellStyle name="Output 2 6 16" xfId="3235" xr:uid="{00000000-0005-0000-0000-0000BD0C0000}"/>
    <cellStyle name="Output 2 6 16 2" xfId="3236" xr:uid="{00000000-0005-0000-0000-0000BE0C0000}"/>
    <cellStyle name="Output 2 6 16 3" xfId="3237" xr:uid="{00000000-0005-0000-0000-0000BF0C0000}"/>
    <cellStyle name="Output 2 6 16 4" xfId="3238" xr:uid="{00000000-0005-0000-0000-0000C00C0000}"/>
    <cellStyle name="Output 2 6 16 5" xfId="3239" xr:uid="{00000000-0005-0000-0000-0000C10C0000}"/>
    <cellStyle name="Output 2 6 17" xfId="3240" xr:uid="{00000000-0005-0000-0000-0000C20C0000}"/>
    <cellStyle name="Output 2 6 17 2" xfId="3241" xr:uid="{00000000-0005-0000-0000-0000C30C0000}"/>
    <cellStyle name="Output 2 6 17 3" xfId="3242" xr:uid="{00000000-0005-0000-0000-0000C40C0000}"/>
    <cellStyle name="Output 2 6 17 4" xfId="3243" xr:uid="{00000000-0005-0000-0000-0000C50C0000}"/>
    <cellStyle name="Output 2 6 17 5" xfId="3244" xr:uid="{00000000-0005-0000-0000-0000C60C0000}"/>
    <cellStyle name="Output 2 6 18" xfId="3245" xr:uid="{00000000-0005-0000-0000-0000C70C0000}"/>
    <cellStyle name="Output 2 6 18 2" xfId="3246" xr:uid="{00000000-0005-0000-0000-0000C80C0000}"/>
    <cellStyle name="Output 2 6 18 3" xfId="3247" xr:uid="{00000000-0005-0000-0000-0000C90C0000}"/>
    <cellStyle name="Output 2 6 18 4" xfId="3248" xr:uid="{00000000-0005-0000-0000-0000CA0C0000}"/>
    <cellStyle name="Output 2 6 18 5" xfId="3249" xr:uid="{00000000-0005-0000-0000-0000CB0C0000}"/>
    <cellStyle name="Output 2 6 19" xfId="3250" xr:uid="{00000000-0005-0000-0000-0000CC0C0000}"/>
    <cellStyle name="Output 2 6 19 2" xfId="3251" xr:uid="{00000000-0005-0000-0000-0000CD0C0000}"/>
    <cellStyle name="Output 2 6 19 3" xfId="3252" xr:uid="{00000000-0005-0000-0000-0000CE0C0000}"/>
    <cellStyle name="Output 2 6 19 4" xfId="3253" xr:uid="{00000000-0005-0000-0000-0000CF0C0000}"/>
    <cellStyle name="Output 2 6 19 5" xfId="3254" xr:uid="{00000000-0005-0000-0000-0000D00C0000}"/>
    <cellStyle name="Output 2 6 2" xfId="3255" xr:uid="{00000000-0005-0000-0000-0000D10C0000}"/>
    <cellStyle name="Output 2 6 2 2" xfId="3256" xr:uid="{00000000-0005-0000-0000-0000D20C0000}"/>
    <cellStyle name="Output 2 6 2 3" xfId="3257" xr:uid="{00000000-0005-0000-0000-0000D30C0000}"/>
    <cellStyle name="Output 2 6 2 4" xfId="3258" xr:uid="{00000000-0005-0000-0000-0000D40C0000}"/>
    <cellStyle name="Output 2 6 2 5" xfId="3259" xr:uid="{00000000-0005-0000-0000-0000D50C0000}"/>
    <cellStyle name="Output 2 6 20" xfId="3260" xr:uid="{00000000-0005-0000-0000-0000D60C0000}"/>
    <cellStyle name="Output 2 6 20 2" xfId="3261" xr:uid="{00000000-0005-0000-0000-0000D70C0000}"/>
    <cellStyle name="Output 2 6 20 3" xfId="3262" xr:uid="{00000000-0005-0000-0000-0000D80C0000}"/>
    <cellStyle name="Output 2 6 20 4" xfId="3263" xr:uid="{00000000-0005-0000-0000-0000D90C0000}"/>
    <cellStyle name="Output 2 6 20 5" xfId="3264" xr:uid="{00000000-0005-0000-0000-0000DA0C0000}"/>
    <cellStyle name="Output 2 6 21" xfId="3265" xr:uid="{00000000-0005-0000-0000-0000DB0C0000}"/>
    <cellStyle name="Output 2 6 21 2" xfId="3266" xr:uid="{00000000-0005-0000-0000-0000DC0C0000}"/>
    <cellStyle name="Output 2 6 21 3" xfId="3267" xr:uid="{00000000-0005-0000-0000-0000DD0C0000}"/>
    <cellStyle name="Output 2 6 21 4" xfId="3268" xr:uid="{00000000-0005-0000-0000-0000DE0C0000}"/>
    <cellStyle name="Output 2 6 21 5" xfId="3269" xr:uid="{00000000-0005-0000-0000-0000DF0C0000}"/>
    <cellStyle name="Output 2 6 22" xfId="3270" xr:uid="{00000000-0005-0000-0000-0000E00C0000}"/>
    <cellStyle name="Output 2 6 22 2" xfId="3271" xr:uid="{00000000-0005-0000-0000-0000E10C0000}"/>
    <cellStyle name="Output 2 6 22 3" xfId="3272" xr:uid="{00000000-0005-0000-0000-0000E20C0000}"/>
    <cellStyle name="Output 2 6 22 4" xfId="3273" xr:uid="{00000000-0005-0000-0000-0000E30C0000}"/>
    <cellStyle name="Output 2 6 23" xfId="3274" xr:uid="{00000000-0005-0000-0000-0000E40C0000}"/>
    <cellStyle name="Output 2 6 23 2" xfId="3275" xr:uid="{00000000-0005-0000-0000-0000E50C0000}"/>
    <cellStyle name="Output 2 6 23 3" xfId="3276" xr:uid="{00000000-0005-0000-0000-0000E60C0000}"/>
    <cellStyle name="Output 2 6 23 4" xfId="3277" xr:uid="{00000000-0005-0000-0000-0000E70C0000}"/>
    <cellStyle name="Output 2 6 24" xfId="3278" xr:uid="{00000000-0005-0000-0000-0000E80C0000}"/>
    <cellStyle name="Output 2 6 24 2" xfId="3279" xr:uid="{00000000-0005-0000-0000-0000E90C0000}"/>
    <cellStyle name="Output 2 6 24 3" xfId="3280" xr:uid="{00000000-0005-0000-0000-0000EA0C0000}"/>
    <cellStyle name="Output 2 6 24 4" xfId="3281" xr:uid="{00000000-0005-0000-0000-0000EB0C0000}"/>
    <cellStyle name="Output 2 6 25" xfId="3282" xr:uid="{00000000-0005-0000-0000-0000EC0C0000}"/>
    <cellStyle name="Output 2 6 25 2" xfId="3283" xr:uid="{00000000-0005-0000-0000-0000ED0C0000}"/>
    <cellStyle name="Output 2 6 25 3" xfId="3284" xr:uid="{00000000-0005-0000-0000-0000EE0C0000}"/>
    <cellStyle name="Output 2 6 25 4" xfId="3285" xr:uid="{00000000-0005-0000-0000-0000EF0C0000}"/>
    <cellStyle name="Output 2 6 3" xfId="3286" xr:uid="{00000000-0005-0000-0000-0000F00C0000}"/>
    <cellStyle name="Output 2 6 3 2" xfId="3287" xr:uid="{00000000-0005-0000-0000-0000F10C0000}"/>
    <cellStyle name="Output 2 6 3 3" xfId="3288" xr:uid="{00000000-0005-0000-0000-0000F20C0000}"/>
    <cellStyle name="Output 2 6 3 4" xfId="3289" xr:uid="{00000000-0005-0000-0000-0000F30C0000}"/>
    <cellStyle name="Output 2 6 3 5" xfId="3290" xr:uid="{00000000-0005-0000-0000-0000F40C0000}"/>
    <cellStyle name="Output 2 6 4" xfId="3291" xr:uid="{00000000-0005-0000-0000-0000F50C0000}"/>
    <cellStyle name="Output 2 6 4 2" xfId="3292" xr:uid="{00000000-0005-0000-0000-0000F60C0000}"/>
    <cellStyle name="Output 2 6 4 3" xfId="3293" xr:uid="{00000000-0005-0000-0000-0000F70C0000}"/>
    <cellStyle name="Output 2 6 4 4" xfId="3294" xr:uid="{00000000-0005-0000-0000-0000F80C0000}"/>
    <cellStyle name="Output 2 6 4 5" xfId="3295" xr:uid="{00000000-0005-0000-0000-0000F90C0000}"/>
    <cellStyle name="Output 2 6 5" xfId="3296" xr:uid="{00000000-0005-0000-0000-0000FA0C0000}"/>
    <cellStyle name="Output 2 6 5 2" xfId="3297" xr:uid="{00000000-0005-0000-0000-0000FB0C0000}"/>
    <cellStyle name="Output 2 6 5 3" xfId="3298" xr:uid="{00000000-0005-0000-0000-0000FC0C0000}"/>
    <cellStyle name="Output 2 6 5 4" xfId="3299" xr:uid="{00000000-0005-0000-0000-0000FD0C0000}"/>
    <cellStyle name="Output 2 6 5 5" xfId="3300" xr:uid="{00000000-0005-0000-0000-0000FE0C0000}"/>
    <cellStyle name="Output 2 6 6" xfId="3301" xr:uid="{00000000-0005-0000-0000-0000FF0C0000}"/>
    <cellStyle name="Output 2 6 6 2" xfId="3302" xr:uid="{00000000-0005-0000-0000-0000000D0000}"/>
    <cellStyle name="Output 2 6 6 3" xfId="3303" xr:uid="{00000000-0005-0000-0000-0000010D0000}"/>
    <cellStyle name="Output 2 6 6 4" xfId="3304" xr:uid="{00000000-0005-0000-0000-0000020D0000}"/>
    <cellStyle name="Output 2 6 6 5" xfId="3305" xr:uid="{00000000-0005-0000-0000-0000030D0000}"/>
    <cellStyle name="Output 2 6 7" xfId="3306" xr:uid="{00000000-0005-0000-0000-0000040D0000}"/>
    <cellStyle name="Output 2 6 7 2" xfId="3307" xr:uid="{00000000-0005-0000-0000-0000050D0000}"/>
    <cellStyle name="Output 2 6 7 3" xfId="3308" xr:uid="{00000000-0005-0000-0000-0000060D0000}"/>
    <cellStyle name="Output 2 6 7 4" xfId="3309" xr:uid="{00000000-0005-0000-0000-0000070D0000}"/>
    <cellStyle name="Output 2 6 7 5" xfId="3310" xr:uid="{00000000-0005-0000-0000-0000080D0000}"/>
    <cellStyle name="Output 2 6 8" xfId="3311" xr:uid="{00000000-0005-0000-0000-0000090D0000}"/>
    <cellStyle name="Output 2 6 8 2" xfId="3312" xr:uid="{00000000-0005-0000-0000-00000A0D0000}"/>
    <cellStyle name="Output 2 6 8 3" xfId="3313" xr:uid="{00000000-0005-0000-0000-00000B0D0000}"/>
    <cellStyle name="Output 2 6 8 4" xfId="3314" xr:uid="{00000000-0005-0000-0000-00000C0D0000}"/>
    <cellStyle name="Output 2 6 8 5" xfId="3315" xr:uid="{00000000-0005-0000-0000-00000D0D0000}"/>
    <cellStyle name="Output 2 6 9" xfId="3316" xr:uid="{00000000-0005-0000-0000-00000E0D0000}"/>
    <cellStyle name="Output 2 6 9 2" xfId="3317" xr:uid="{00000000-0005-0000-0000-00000F0D0000}"/>
    <cellStyle name="Output 2 6 9 3" xfId="3318" xr:uid="{00000000-0005-0000-0000-0000100D0000}"/>
    <cellStyle name="Output 2 6 9 4" xfId="3319" xr:uid="{00000000-0005-0000-0000-0000110D0000}"/>
    <cellStyle name="Output 2 6 9 5" xfId="3320" xr:uid="{00000000-0005-0000-0000-0000120D0000}"/>
    <cellStyle name="Output 2 7" xfId="3321" xr:uid="{00000000-0005-0000-0000-0000130D0000}"/>
    <cellStyle name="Output 2 7 2" xfId="3322" xr:uid="{00000000-0005-0000-0000-0000140D0000}"/>
    <cellStyle name="Output 2 7 3" xfId="3323" xr:uid="{00000000-0005-0000-0000-0000150D0000}"/>
    <cellStyle name="Output 2 7 4" xfId="3324" xr:uid="{00000000-0005-0000-0000-0000160D0000}"/>
    <cellStyle name="Output 2 7 5" xfId="3325" xr:uid="{00000000-0005-0000-0000-0000170D0000}"/>
    <cellStyle name="Output 2 8" xfId="3326" xr:uid="{00000000-0005-0000-0000-0000180D0000}"/>
    <cellStyle name="Output 2 8 2" xfId="3327" xr:uid="{00000000-0005-0000-0000-0000190D0000}"/>
    <cellStyle name="Output 2 8 3" xfId="3328" xr:uid="{00000000-0005-0000-0000-00001A0D0000}"/>
    <cellStyle name="Output 2 8 4" xfId="3329" xr:uid="{00000000-0005-0000-0000-00001B0D0000}"/>
    <cellStyle name="Output 2 8 5" xfId="3330" xr:uid="{00000000-0005-0000-0000-00001C0D0000}"/>
    <cellStyle name="Output 2 9" xfId="3331" xr:uid="{00000000-0005-0000-0000-00001D0D0000}"/>
    <cellStyle name="Output 2 9 2" xfId="3332" xr:uid="{00000000-0005-0000-0000-00001E0D0000}"/>
    <cellStyle name="Output 2 9 3" xfId="3333" xr:uid="{00000000-0005-0000-0000-00001F0D0000}"/>
    <cellStyle name="Output 2 9 4" xfId="3334" xr:uid="{00000000-0005-0000-0000-0000200D0000}"/>
    <cellStyle name="Output 2 9 5" xfId="3335" xr:uid="{00000000-0005-0000-0000-0000210D0000}"/>
    <cellStyle name="Percent" xfId="2" builtinId="5"/>
    <cellStyle name="Percent 10" xfId="3336" xr:uid="{00000000-0005-0000-0000-0000230D0000}"/>
    <cellStyle name="Percent 17" xfId="3337" xr:uid="{00000000-0005-0000-0000-0000240D0000}"/>
    <cellStyle name="Percent 2" xfId="169" xr:uid="{00000000-0005-0000-0000-0000250D0000}"/>
    <cellStyle name="Percent 2 2" xfId="185" xr:uid="{00000000-0005-0000-0000-0000260D0000}"/>
    <cellStyle name="Percent 2 2 2" xfId="3338" xr:uid="{00000000-0005-0000-0000-0000270D0000}"/>
    <cellStyle name="Percent 2 2 3" xfId="3339" xr:uid="{00000000-0005-0000-0000-0000280D0000}"/>
    <cellStyle name="Percent 2 2 4" xfId="3340" xr:uid="{00000000-0005-0000-0000-0000290D0000}"/>
    <cellStyle name="Percent 2 2 4 2" xfId="3341" xr:uid="{00000000-0005-0000-0000-00002A0D0000}"/>
    <cellStyle name="Percent 2 2 5" xfId="3342" xr:uid="{00000000-0005-0000-0000-00002B0D0000}"/>
    <cellStyle name="Percent 2 2 6" xfId="3343" xr:uid="{00000000-0005-0000-0000-00002C0D0000}"/>
    <cellStyle name="Percent 2 3" xfId="3344" xr:uid="{00000000-0005-0000-0000-00002D0D0000}"/>
    <cellStyle name="Percent 2 3 2" xfId="3345" xr:uid="{00000000-0005-0000-0000-00002E0D0000}"/>
    <cellStyle name="Percent 2 4" xfId="3346" xr:uid="{00000000-0005-0000-0000-00002F0D0000}"/>
    <cellStyle name="Percent 2 4 2" xfId="3347" xr:uid="{00000000-0005-0000-0000-0000300D0000}"/>
    <cellStyle name="Percent 2 5" xfId="3348" xr:uid="{00000000-0005-0000-0000-0000310D0000}"/>
    <cellStyle name="Percent 2 6" xfId="3349" xr:uid="{00000000-0005-0000-0000-0000320D0000}"/>
    <cellStyle name="Percent 2 7" xfId="3350" xr:uid="{00000000-0005-0000-0000-0000330D0000}"/>
    <cellStyle name="Percent 3" xfId="170" xr:uid="{00000000-0005-0000-0000-0000340D0000}"/>
    <cellStyle name="Percent 3 2" xfId="205" xr:uid="{00000000-0005-0000-0000-0000350D0000}"/>
    <cellStyle name="Percent 3 2 2" xfId="3918" xr:uid="{00000000-0005-0000-0000-0000360D0000}"/>
    <cellStyle name="Percent 3 3" xfId="3351" xr:uid="{00000000-0005-0000-0000-0000370D0000}"/>
    <cellStyle name="Percent 3 4" xfId="3352" xr:uid="{00000000-0005-0000-0000-0000380D0000}"/>
    <cellStyle name="Percent 3 5" xfId="3353" xr:uid="{00000000-0005-0000-0000-0000390D0000}"/>
    <cellStyle name="Percent 4" xfId="206" xr:uid="{00000000-0005-0000-0000-00003A0D0000}"/>
    <cellStyle name="Percent 4 2" xfId="3354" xr:uid="{00000000-0005-0000-0000-00003B0D0000}"/>
    <cellStyle name="Percent 4 3" xfId="3355" xr:uid="{00000000-0005-0000-0000-00003C0D0000}"/>
    <cellStyle name="Percent 4 4" xfId="3356" xr:uid="{00000000-0005-0000-0000-00003D0D0000}"/>
    <cellStyle name="Percent 4 5" xfId="3357" xr:uid="{00000000-0005-0000-0000-00003E0D0000}"/>
    <cellStyle name="Percent 5" xfId="3358" xr:uid="{00000000-0005-0000-0000-00003F0D0000}"/>
    <cellStyle name="Percent 5 2" xfId="3359" xr:uid="{00000000-0005-0000-0000-0000400D0000}"/>
    <cellStyle name="Percent 5 3" xfId="3360" xr:uid="{00000000-0005-0000-0000-0000410D0000}"/>
    <cellStyle name="Percent 5 4" xfId="3361" xr:uid="{00000000-0005-0000-0000-0000420D0000}"/>
    <cellStyle name="Percent 6" xfId="3362" xr:uid="{00000000-0005-0000-0000-0000430D0000}"/>
    <cellStyle name="Percent 6 2" xfId="3363" xr:uid="{00000000-0005-0000-0000-0000440D0000}"/>
    <cellStyle name="Percent 6 3" xfId="3364" xr:uid="{00000000-0005-0000-0000-0000450D0000}"/>
    <cellStyle name="Percent 7" xfId="3365" xr:uid="{00000000-0005-0000-0000-0000460D0000}"/>
    <cellStyle name="Percent 7 2" xfId="3366" xr:uid="{00000000-0005-0000-0000-0000470D0000}"/>
    <cellStyle name="Percent 7 3" xfId="3367" xr:uid="{00000000-0005-0000-0000-0000480D0000}"/>
    <cellStyle name="Percent 7 4" xfId="3368" xr:uid="{00000000-0005-0000-0000-0000490D0000}"/>
    <cellStyle name="Percent 8" xfId="3369" xr:uid="{00000000-0005-0000-0000-00004A0D0000}"/>
    <cellStyle name="Percent 8 2" xfId="3370" xr:uid="{00000000-0005-0000-0000-00004B0D0000}"/>
    <cellStyle name="Percent 8 3" xfId="3371" xr:uid="{00000000-0005-0000-0000-00004C0D0000}"/>
    <cellStyle name="Percent 9" xfId="3372" xr:uid="{00000000-0005-0000-0000-00004D0D0000}"/>
    <cellStyle name="Percent 9 2" xfId="3373" xr:uid="{00000000-0005-0000-0000-00004E0D0000}"/>
    <cellStyle name="provisional PN158/97" xfId="171" xr:uid="{00000000-0005-0000-0000-00004F0D0000}"/>
    <cellStyle name="P嗴_x000c_〘 ńバ঒〘 " xfId="3374" xr:uid="{00000000-0005-0000-0000-0000500D0000}"/>
    <cellStyle name="P嗴_x000c_〘 ńバ঒〘  2" xfId="3375" xr:uid="{00000000-0005-0000-0000-0000510D0000}"/>
    <cellStyle name="P嗴_x000c_〘 ńバ঒〘 _Main Allocation Sheet" xfId="3376" xr:uid="{00000000-0005-0000-0000-0000520D0000}"/>
    <cellStyle name="Sheet Title" xfId="3377" xr:uid="{00000000-0005-0000-0000-0000530D0000}"/>
    <cellStyle name="Style 1" xfId="172" xr:uid="{00000000-0005-0000-0000-0000540D0000}"/>
    <cellStyle name="Style 1 2" xfId="207" xr:uid="{00000000-0005-0000-0000-0000550D0000}"/>
    <cellStyle name="Style 1 2 2" xfId="3378" xr:uid="{00000000-0005-0000-0000-0000560D0000}"/>
    <cellStyle name="Style 1 3" xfId="3379" xr:uid="{00000000-0005-0000-0000-0000570D0000}"/>
    <cellStyle name="Style 1_Main Allocation Sheet" xfId="3380" xr:uid="{00000000-0005-0000-0000-0000580D0000}"/>
    <cellStyle name="style1456487729786" xfId="182" xr:uid="{00000000-0005-0000-0000-0000590D0000}"/>
    <cellStyle name="style1456487878690" xfId="183" xr:uid="{00000000-0005-0000-0000-00005A0D0000}"/>
    <cellStyle name="sub" xfId="173" xr:uid="{00000000-0005-0000-0000-00005B0D0000}"/>
    <cellStyle name="table imported" xfId="174" xr:uid="{00000000-0005-0000-0000-00005C0D0000}"/>
    <cellStyle name="table sum" xfId="175" xr:uid="{00000000-0005-0000-0000-00005D0D0000}"/>
    <cellStyle name="table values" xfId="176" xr:uid="{00000000-0005-0000-0000-00005E0D0000}"/>
    <cellStyle name="Title 2" xfId="177" xr:uid="{00000000-0005-0000-0000-00005F0D0000}"/>
    <cellStyle name="TitleStyle" xfId="3922" xr:uid="{00000000-0005-0000-0000-0000600D0000}"/>
    <cellStyle name="TitleStyle 2" xfId="3936" xr:uid="{00000000-0005-0000-0000-0000610D0000}"/>
    <cellStyle name="TitleStyle 3" xfId="3937" xr:uid="{00000000-0005-0000-0000-0000620D0000}"/>
    <cellStyle name="Total 2" xfId="178" xr:uid="{00000000-0005-0000-0000-0000630D0000}"/>
    <cellStyle name="Total 2 10" xfId="3381" xr:uid="{00000000-0005-0000-0000-0000640D0000}"/>
    <cellStyle name="Total 2 10 2" xfId="3382" xr:uid="{00000000-0005-0000-0000-0000650D0000}"/>
    <cellStyle name="Total 2 10 3" xfId="3383" xr:uid="{00000000-0005-0000-0000-0000660D0000}"/>
    <cellStyle name="Total 2 10 4" xfId="3384" xr:uid="{00000000-0005-0000-0000-0000670D0000}"/>
    <cellStyle name="Total 2 10 5" xfId="3385" xr:uid="{00000000-0005-0000-0000-0000680D0000}"/>
    <cellStyle name="Total 2 11" xfId="3386" xr:uid="{00000000-0005-0000-0000-0000690D0000}"/>
    <cellStyle name="Total 2 11 2" xfId="3387" xr:uid="{00000000-0005-0000-0000-00006A0D0000}"/>
    <cellStyle name="Total 2 11 3" xfId="3388" xr:uid="{00000000-0005-0000-0000-00006B0D0000}"/>
    <cellStyle name="Total 2 11 4" xfId="3389" xr:uid="{00000000-0005-0000-0000-00006C0D0000}"/>
    <cellStyle name="Total 2 11 5" xfId="3390" xr:uid="{00000000-0005-0000-0000-00006D0D0000}"/>
    <cellStyle name="Total 2 12" xfId="3391" xr:uid="{00000000-0005-0000-0000-00006E0D0000}"/>
    <cellStyle name="Total 2 12 2" xfId="3392" xr:uid="{00000000-0005-0000-0000-00006F0D0000}"/>
    <cellStyle name="Total 2 12 3" xfId="3393" xr:uid="{00000000-0005-0000-0000-0000700D0000}"/>
    <cellStyle name="Total 2 12 4" xfId="3394" xr:uid="{00000000-0005-0000-0000-0000710D0000}"/>
    <cellStyle name="Total 2 12 5" xfId="3395" xr:uid="{00000000-0005-0000-0000-0000720D0000}"/>
    <cellStyle name="Total 2 13" xfId="3396" xr:uid="{00000000-0005-0000-0000-0000730D0000}"/>
    <cellStyle name="Total 2 13 2" xfId="3397" xr:uid="{00000000-0005-0000-0000-0000740D0000}"/>
    <cellStyle name="Total 2 13 3" xfId="3398" xr:uid="{00000000-0005-0000-0000-0000750D0000}"/>
    <cellStyle name="Total 2 13 4" xfId="3399" xr:uid="{00000000-0005-0000-0000-0000760D0000}"/>
    <cellStyle name="Total 2 14" xfId="3400" xr:uid="{00000000-0005-0000-0000-0000770D0000}"/>
    <cellStyle name="Total 2 14 2" xfId="3401" xr:uid="{00000000-0005-0000-0000-0000780D0000}"/>
    <cellStyle name="Total 2 14 3" xfId="3402" xr:uid="{00000000-0005-0000-0000-0000790D0000}"/>
    <cellStyle name="Total 2 14 4" xfId="3403" xr:uid="{00000000-0005-0000-0000-00007A0D0000}"/>
    <cellStyle name="Total 2 15" xfId="3404" xr:uid="{00000000-0005-0000-0000-00007B0D0000}"/>
    <cellStyle name="Total 2 15 2" xfId="3405" xr:uid="{00000000-0005-0000-0000-00007C0D0000}"/>
    <cellStyle name="Total 2 15 3" xfId="3406" xr:uid="{00000000-0005-0000-0000-00007D0D0000}"/>
    <cellStyle name="Total 2 15 4" xfId="3407" xr:uid="{00000000-0005-0000-0000-00007E0D0000}"/>
    <cellStyle name="Total 2 16" xfId="3408" xr:uid="{00000000-0005-0000-0000-00007F0D0000}"/>
    <cellStyle name="Total 2 2" xfId="3409" xr:uid="{00000000-0005-0000-0000-0000800D0000}"/>
    <cellStyle name="Total 2 2 10" xfId="3410" xr:uid="{00000000-0005-0000-0000-0000810D0000}"/>
    <cellStyle name="Total 2 2 10 2" xfId="3411" xr:uid="{00000000-0005-0000-0000-0000820D0000}"/>
    <cellStyle name="Total 2 2 10 3" xfId="3412" xr:uid="{00000000-0005-0000-0000-0000830D0000}"/>
    <cellStyle name="Total 2 2 10 4" xfId="3413" xr:uid="{00000000-0005-0000-0000-0000840D0000}"/>
    <cellStyle name="Total 2 2 10 5" xfId="3414" xr:uid="{00000000-0005-0000-0000-0000850D0000}"/>
    <cellStyle name="Total 2 2 11" xfId="3415" xr:uid="{00000000-0005-0000-0000-0000860D0000}"/>
    <cellStyle name="Total 2 2 11 2" xfId="3416" xr:uid="{00000000-0005-0000-0000-0000870D0000}"/>
    <cellStyle name="Total 2 2 11 3" xfId="3417" xr:uid="{00000000-0005-0000-0000-0000880D0000}"/>
    <cellStyle name="Total 2 2 11 4" xfId="3418" xr:uid="{00000000-0005-0000-0000-0000890D0000}"/>
    <cellStyle name="Total 2 2 11 5" xfId="3419" xr:uid="{00000000-0005-0000-0000-00008A0D0000}"/>
    <cellStyle name="Total 2 2 12" xfId="3420" xr:uid="{00000000-0005-0000-0000-00008B0D0000}"/>
    <cellStyle name="Total 2 2 12 2" xfId="3421" xr:uid="{00000000-0005-0000-0000-00008C0D0000}"/>
    <cellStyle name="Total 2 2 12 3" xfId="3422" xr:uid="{00000000-0005-0000-0000-00008D0D0000}"/>
    <cellStyle name="Total 2 2 12 4" xfId="3423" xr:uid="{00000000-0005-0000-0000-00008E0D0000}"/>
    <cellStyle name="Total 2 2 12 5" xfId="3424" xr:uid="{00000000-0005-0000-0000-00008F0D0000}"/>
    <cellStyle name="Total 2 2 13" xfId="3425" xr:uid="{00000000-0005-0000-0000-0000900D0000}"/>
    <cellStyle name="Total 2 2 13 2" xfId="3426" xr:uid="{00000000-0005-0000-0000-0000910D0000}"/>
    <cellStyle name="Total 2 2 13 3" xfId="3427" xr:uid="{00000000-0005-0000-0000-0000920D0000}"/>
    <cellStyle name="Total 2 2 13 4" xfId="3428" xr:uid="{00000000-0005-0000-0000-0000930D0000}"/>
    <cellStyle name="Total 2 2 13 5" xfId="3429" xr:uid="{00000000-0005-0000-0000-0000940D0000}"/>
    <cellStyle name="Total 2 2 14" xfId="3430" xr:uid="{00000000-0005-0000-0000-0000950D0000}"/>
    <cellStyle name="Total 2 2 14 2" xfId="3431" xr:uid="{00000000-0005-0000-0000-0000960D0000}"/>
    <cellStyle name="Total 2 2 14 3" xfId="3432" xr:uid="{00000000-0005-0000-0000-0000970D0000}"/>
    <cellStyle name="Total 2 2 14 4" xfId="3433" xr:uid="{00000000-0005-0000-0000-0000980D0000}"/>
    <cellStyle name="Total 2 2 14 5" xfId="3434" xr:uid="{00000000-0005-0000-0000-0000990D0000}"/>
    <cellStyle name="Total 2 2 15" xfId="3435" xr:uid="{00000000-0005-0000-0000-00009A0D0000}"/>
    <cellStyle name="Total 2 2 15 2" xfId="3436" xr:uid="{00000000-0005-0000-0000-00009B0D0000}"/>
    <cellStyle name="Total 2 2 15 3" xfId="3437" xr:uid="{00000000-0005-0000-0000-00009C0D0000}"/>
    <cellStyle name="Total 2 2 15 4" xfId="3438" xr:uid="{00000000-0005-0000-0000-00009D0D0000}"/>
    <cellStyle name="Total 2 2 15 5" xfId="3439" xr:uid="{00000000-0005-0000-0000-00009E0D0000}"/>
    <cellStyle name="Total 2 2 16" xfId="3440" xr:uid="{00000000-0005-0000-0000-00009F0D0000}"/>
    <cellStyle name="Total 2 2 16 2" xfId="3441" xr:uid="{00000000-0005-0000-0000-0000A00D0000}"/>
    <cellStyle name="Total 2 2 16 3" xfId="3442" xr:uid="{00000000-0005-0000-0000-0000A10D0000}"/>
    <cellStyle name="Total 2 2 16 4" xfId="3443" xr:uid="{00000000-0005-0000-0000-0000A20D0000}"/>
    <cellStyle name="Total 2 2 16 5" xfId="3444" xr:uid="{00000000-0005-0000-0000-0000A30D0000}"/>
    <cellStyle name="Total 2 2 17" xfId="3445" xr:uid="{00000000-0005-0000-0000-0000A40D0000}"/>
    <cellStyle name="Total 2 2 17 2" xfId="3446" xr:uid="{00000000-0005-0000-0000-0000A50D0000}"/>
    <cellStyle name="Total 2 2 17 3" xfId="3447" xr:uid="{00000000-0005-0000-0000-0000A60D0000}"/>
    <cellStyle name="Total 2 2 17 4" xfId="3448" xr:uid="{00000000-0005-0000-0000-0000A70D0000}"/>
    <cellStyle name="Total 2 2 18" xfId="3449" xr:uid="{00000000-0005-0000-0000-0000A80D0000}"/>
    <cellStyle name="Total 2 2 18 2" xfId="3450" xr:uid="{00000000-0005-0000-0000-0000A90D0000}"/>
    <cellStyle name="Total 2 2 18 3" xfId="3451" xr:uid="{00000000-0005-0000-0000-0000AA0D0000}"/>
    <cellStyle name="Total 2 2 18 4" xfId="3452" xr:uid="{00000000-0005-0000-0000-0000AB0D0000}"/>
    <cellStyle name="Total 2 2 19" xfId="3453" xr:uid="{00000000-0005-0000-0000-0000AC0D0000}"/>
    <cellStyle name="Total 2 2 19 2" xfId="3454" xr:uid="{00000000-0005-0000-0000-0000AD0D0000}"/>
    <cellStyle name="Total 2 2 19 3" xfId="3455" xr:uid="{00000000-0005-0000-0000-0000AE0D0000}"/>
    <cellStyle name="Total 2 2 19 4" xfId="3456" xr:uid="{00000000-0005-0000-0000-0000AF0D0000}"/>
    <cellStyle name="Total 2 2 2" xfId="3457" xr:uid="{00000000-0005-0000-0000-0000B00D0000}"/>
    <cellStyle name="Total 2 2 2 2" xfId="3458" xr:uid="{00000000-0005-0000-0000-0000B10D0000}"/>
    <cellStyle name="Total 2 2 2 3" xfId="3459" xr:uid="{00000000-0005-0000-0000-0000B20D0000}"/>
    <cellStyle name="Total 2 2 2 4" xfId="3460" xr:uid="{00000000-0005-0000-0000-0000B30D0000}"/>
    <cellStyle name="Total 2 2 2 5" xfId="3461" xr:uid="{00000000-0005-0000-0000-0000B40D0000}"/>
    <cellStyle name="Total 2 2 20" xfId="3462" xr:uid="{00000000-0005-0000-0000-0000B50D0000}"/>
    <cellStyle name="Total 2 2 20 2" xfId="3463" xr:uid="{00000000-0005-0000-0000-0000B60D0000}"/>
    <cellStyle name="Total 2 2 20 3" xfId="3464" xr:uid="{00000000-0005-0000-0000-0000B70D0000}"/>
    <cellStyle name="Total 2 2 20 4" xfId="3465" xr:uid="{00000000-0005-0000-0000-0000B80D0000}"/>
    <cellStyle name="Total 2 2 21" xfId="3466" xr:uid="{00000000-0005-0000-0000-0000B90D0000}"/>
    <cellStyle name="Total 2 2 3" xfId="3467" xr:uid="{00000000-0005-0000-0000-0000BA0D0000}"/>
    <cellStyle name="Total 2 2 3 2" xfId="3468" xr:uid="{00000000-0005-0000-0000-0000BB0D0000}"/>
    <cellStyle name="Total 2 2 3 3" xfId="3469" xr:uid="{00000000-0005-0000-0000-0000BC0D0000}"/>
    <cellStyle name="Total 2 2 3 4" xfId="3470" xr:uid="{00000000-0005-0000-0000-0000BD0D0000}"/>
    <cellStyle name="Total 2 2 3 5" xfId="3471" xr:uid="{00000000-0005-0000-0000-0000BE0D0000}"/>
    <cellStyle name="Total 2 2 4" xfId="3472" xr:uid="{00000000-0005-0000-0000-0000BF0D0000}"/>
    <cellStyle name="Total 2 2 4 2" xfId="3473" xr:uid="{00000000-0005-0000-0000-0000C00D0000}"/>
    <cellStyle name="Total 2 2 4 3" xfId="3474" xr:uid="{00000000-0005-0000-0000-0000C10D0000}"/>
    <cellStyle name="Total 2 2 4 4" xfId="3475" xr:uid="{00000000-0005-0000-0000-0000C20D0000}"/>
    <cellStyle name="Total 2 2 4 5" xfId="3476" xr:uid="{00000000-0005-0000-0000-0000C30D0000}"/>
    <cellStyle name="Total 2 2 5" xfId="3477" xr:uid="{00000000-0005-0000-0000-0000C40D0000}"/>
    <cellStyle name="Total 2 2 5 2" xfId="3478" xr:uid="{00000000-0005-0000-0000-0000C50D0000}"/>
    <cellStyle name="Total 2 2 5 3" xfId="3479" xr:uid="{00000000-0005-0000-0000-0000C60D0000}"/>
    <cellStyle name="Total 2 2 5 4" xfId="3480" xr:uid="{00000000-0005-0000-0000-0000C70D0000}"/>
    <cellStyle name="Total 2 2 5 5" xfId="3481" xr:uid="{00000000-0005-0000-0000-0000C80D0000}"/>
    <cellStyle name="Total 2 2 6" xfId="3482" xr:uid="{00000000-0005-0000-0000-0000C90D0000}"/>
    <cellStyle name="Total 2 2 6 2" xfId="3483" xr:uid="{00000000-0005-0000-0000-0000CA0D0000}"/>
    <cellStyle name="Total 2 2 6 3" xfId="3484" xr:uid="{00000000-0005-0000-0000-0000CB0D0000}"/>
    <cellStyle name="Total 2 2 6 4" xfId="3485" xr:uid="{00000000-0005-0000-0000-0000CC0D0000}"/>
    <cellStyle name="Total 2 2 6 5" xfId="3486" xr:uid="{00000000-0005-0000-0000-0000CD0D0000}"/>
    <cellStyle name="Total 2 2 7" xfId="3487" xr:uid="{00000000-0005-0000-0000-0000CE0D0000}"/>
    <cellStyle name="Total 2 2 7 2" xfId="3488" xr:uid="{00000000-0005-0000-0000-0000CF0D0000}"/>
    <cellStyle name="Total 2 2 7 3" xfId="3489" xr:uid="{00000000-0005-0000-0000-0000D00D0000}"/>
    <cellStyle name="Total 2 2 7 4" xfId="3490" xr:uid="{00000000-0005-0000-0000-0000D10D0000}"/>
    <cellStyle name="Total 2 2 7 5" xfId="3491" xr:uid="{00000000-0005-0000-0000-0000D20D0000}"/>
    <cellStyle name="Total 2 2 8" xfId="3492" xr:uid="{00000000-0005-0000-0000-0000D30D0000}"/>
    <cellStyle name="Total 2 2 8 2" xfId="3493" xr:uid="{00000000-0005-0000-0000-0000D40D0000}"/>
    <cellStyle name="Total 2 2 8 3" xfId="3494" xr:uid="{00000000-0005-0000-0000-0000D50D0000}"/>
    <cellStyle name="Total 2 2 8 4" xfId="3495" xr:uid="{00000000-0005-0000-0000-0000D60D0000}"/>
    <cellStyle name="Total 2 2 8 5" xfId="3496" xr:uid="{00000000-0005-0000-0000-0000D70D0000}"/>
    <cellStyle name="Total 2 2 9" xfId="3497" xr:uid="{00000000-0005-0000-0000-0000D80D0000}"/>
    <cellStyle name="Total 2 2 9 2" xfId="3498" xr:uid="{00000000-0005-0000-0000-0000D90D0000}"/>
    <cellStyle name="Total 2 2 9 3" xfId="3499" xr:uid="{00000000-0005-0000-0000-0000DA0D0000}"/>
    <cellStyle name="Total 2 2 9 4" xfId="3500" xr:uid="{00000000-0005-0000-0000-0000DB0D0000}"/>
    <cellStyle name="Total 2 2 9 5" xfId="3501" xr:uid="{00000000-0005-0000-0000-0000DC0D0000}"/>
    <cellStyle name="Total 2 3" xfId="3502" xr:uid="{00000000-0005-0000-0000-0000DD0D0000}"/>
    <cellStyle name="Total 2 3 10" xfId="3503" xr:uid="{00000000-0005-0000-0000-0000DE0D0000}"/>
    <cellStyle name="Total 2 3 10 2" xfId="3504" xr:uid="{00000000-0005-0000-0000-0000DF0D0000}"/>
    <cellStyle name="Total 2 3 10 3" xfId="3505" xr:uid="{00000000-0005-0000-0000-0000E00D0000}"/>
    <cellStyle name="Total 2 3 10 4" xfId="3506" xr:uid="{00000000-0005-0000-0000-0000E10D0000}"/>
    <cellStyle name="Total 2 3 10 5" xfId="3507" xr:uid="{00000000-0005-0000-0000-0000E20D0000}"/>
    <cellStyle name="Total 2 3 11" xfId="3508" xr:uid="{00000000-0005-0000-0000-0000E30D0000}"/>
    <cellStyle name="Total 2 3 11 2" xfId="3509" xr:uid="{00000000-0005-0000-0000-0000E40D0000}"/>
    <cellStyle name="Total 2 3 11 3" xfId="3510" xr:uid="{00000000-0005-0000-0000-0000E50D0000}"/>
    <cellStyle name="Total 2 3 11 4" xfId="3511" xr:uid="{00000000-0005-0000-0000-0000E60D0000}"/>
    <cellStyle name="Total 2 3 11 5" xfId="3512" xr:uid="{00000000-0005-0000-0000-0000E70D0000}"/>
    <cellStyle name="Total 2 3 12" xfId="3513" xr:uid="{00000000-0005-0000-0000-0000E80D0000}"/>
    <cellStyle name="Total 2 3 12 2" xfId="3514" xr:uid="{00000000-0005-0000-0000-0000E90D0000}"/>
    <cellStyle name="Total 2 3 12 3" xfId="3515" xr:uid="{00000000-0005-0000-0000-0000EA0D0000}"/>
    <cellStyle name="Total 2 3 12 4" xfId="3516" xr:uid="{00000000-0005-0000-0000-0000EB0D0000}"/>
    <cellStyle name="Total 2 3 12 5" xfId="3517" xr:uid="{00000000-0005-0000-0000-0000EC0D0000}"/>
    <cellStyle name="Total 2 3 13" xfId="3518" xr:uid="{00000000-0005-0000-0000-0000ED0D0000}"/>
    <cellStyle name="Total 2 3 13 2" xfId="3519" xr:uid="{00000000-0005-0000-0000-0000EE0D0000}"/>
    <cellStyle name="Total 2 3 13 3" xfId="3520" xr:uid="{00000000-0005-0000-0000-0000EF0D0000}"/>
    <cellStyle name="Total 2 3 13 4" xfId="3521" xr:uid="{00000000-0005-0000-0000-0000F00D0000}"/>
    <cellStyle name="Total 2 3 13 5" xfId="3522" xr:uid="{00000000-0005-0000-0000-0000F10D0000}"/>
    <cellStyle name="Total 2 3 14" xfId="3523" xr:uid="{00000000-0005-0000-0000-0000F20D0000}"/>
    <cellStyle name="Total 2 3 14 2" xfId="3524" xr:uid="{00000000-0005-0000-0000-0000F30D0000}"/>
    <cellStyle name="Total 2 3 14 3" xfId="3525" xr:uid="{00000000-0005-0000-0000-0000F40D0000}"/>
    <cellStyle name="Total 2 3 14 4" xfId="3526" xr:uid="{00000000-0005-0000-0000-0000F50D0000}"/>
    <cellStyle name="Total 2 3 14 5" xfId="3527" xr:uid="{00000000-0005-0000-0000-0000F60D0000}"/>
    <cellStyle name="Total 2 3 15" xfId="3528" xr:uid="{00000000-0005-0000-0000-0000F70D0000}"/>
    <cellStyle name="Total 2 3 15 2" xfId="3529" xr:uid="{00000000-0005-0000-0000-0000F80D0000}"/>
    <cellStyle name="Total 2 3 15 3" xfId="3530" xr:uid="{00000000-0005-0000-0000-0000F90D0000}"/>
    <cellStyle name="Total 2 3 15 4" xfId="3531" xr:uid="{00000000-0005-0000-0000-0000FA0D0000}"/>
    <cellStyle name="Total 2 3 15 5" xfId="3532" xr:uid="{00000000-0005-0000-0000-0000FB0D0000}"/>
    <cellStyle name="Total 2 3 16" xfId="3533" xr:uid="{00000000-0005-0000-0000-0000FC0D0000}"/>
    <cellStyle name="Total 2 3 16 2" xfId="3534" xr:uid="{00000000-0005-0000-0000-0000FD0D0000}"/>
    <cellStyle name="Total 2 3 16 3" xfId="3535" xr:uid="{00000000-0005-0000-0000-0000FE0D0000}"/>
    <cellStyle name="Total 2 3 16 4" xfId="3536" xr:uid="{00000000-0005-0000-0000-0000FF0D0000}"/>
    <cellStyle name="Total 2 3 16 5" xfId="3537" xr:uid="{00000000-0005-0000-0000-0000000E0000}"/>
    <cellStyle name="Total 2 3 17" xfId="3538" xr:uid="{00000000-0005-0000-0000-0000010E0000}"/>
    <cellStyle name="Total 2 3 17 2" xfId="3539" xr:uid="{00000000-0005-0000-0000-0000020E0000}"/>
    <cellStyle name="Total 2 3 17 3" xfId="3540" xr:uid="{00000000-0005-0000-0000-0000030E0000}"/>
    <cellStyle name="Total 2 3 17 4" xfId="3541" xr:uid="{00000000-0005-0000-0000-0000040E0000}"/>
    <cellStyle name="Total 2 3 18" xfId="3542" xr:uid="{00000000-0005-0000-0000-0000050E0000}"/>
    <cellStyle name="Total 2 3 18 2" xfId="3543" xr:uid="{00000000-0005-0000-0000-0000060E0000}"/>
    <cellStyle name="Total 2 3 18 3" xfId="3544" xr:uid="{00000000-0005-0000-0000-0000070E0000}"/>
    <cellStyle name="Total 2 3 18 4" xfId="3545" xr:uid="{00000000-0005-0000-0000-0000080E0000}"/>
    <cellStyle name="Total 2 3 19" xfId="3546" xr:uid="{00000000-0005-0000-0000-0000090E0000}"/>
    <cellStyle name="Total 2 3 19 2" xfId="3547" xr:uid="{00000000-0005-0000-0000-00000A0E0000}"/>
    <cellStyle name="Total 2 3 19 3" xfId="3548" xr:uid="{00000000-0005-0000-0000-00000B0E0000}"/>
    <cellStyle name="Total 2 3 19 4" xfId="3549" xr:uid="{00000000-0005-0000-0000-00000C0E0000}"/>
    <cellStyle name="Total 2 3 2" xfId="3550" xr:uid="{00000000-0005-0000-0000-00000D0E0000}"/>
    <cellStyle name="Total 2 3 2 2" xfId="3551" xr:uid="{00000000-0005-0000-0000-00000E0E0000}"/>
    <cellStyle name="Total 2 3 2 3" xfId="3552" xr:uid="{00000000-0005-0000-0000-00000F0E0000}"/>
    <cellStyle name="Total 2 3 2 4" xfId="3553" xr:uid="{00000000-0005-0000-0000-0000100E0000}"/>
    <cellStyle name="Total 2 3 2 5" xfId="3554" xr:uid="{00000000-0005-0000-0000-0000110E0000}"/>
    <cellStyle name="Total 2 3 20" xfId="3555" xr:uid="{00000000-0005-0000-0000-0000120E0000}"/>
    <cellStyle name="Total 2 3 20 2" xfId="3556" xr:uid="{00000000-0005-0000-0000-0000130E0000}"/>
    <cellStyle name="Total 2 3 20 3" xfId="3557" xr:uid="{00000000-0005-0000-0000-0000140E0000}"/>
    <cellStyle name="Total 2 3 20 4" xfId="3558" xr:uid="{00000000-0005-0000-0000-0000150E0000}"/>
    <cellStyle name="Total 2 3 21" xfId="3559" xr:uid="{00000000-0005-0000-0000-0000160E0000}"/>
    <cellStyle name="Total 2 3 3" xfId="3560" xr:uid="{00000000-0005-0000-0000-0000170E0000}"/>
    <cellStyle name="Total 2 3 3 2" xfId="3561" xr:uid="{00000000-0005-0000-0000-0000180E0000}"/>
    <cellStyle name="Total 2 3 3 3" xfId="3562" xr:uid="{00000000-0005-0000-0000-0000190E0000}"/>
    <cellStyle name="Total 2 3 3 4" xfId="3563" xr:uid="{00000000-0005-0000-0000-00001A0E0000}"/>
    <cellStyle name="Total 2 3 3 5" xfId="3564" xr:uid="{00000000-0005-0000-0000-00001B0E0000}"/>
    <cellStyle name="Total 2 3 4" xfId="3565" xr:uid="{00000000-0005-0000-0000-00001C0E0000}"/>
    <cellStyle name="Total 2 3 4 2" xfId="3566" xr:uid="{00000000-0005-0000-0000-00001D0E0000}"/>
    <cellStyle name="Total 2 3 4 3" xfId="3567" xr:uid="{00000000-0005-0000-0000-00001E0E0000}"/>
    <cellStyle name="Total 2 3 4 4" xfId="3568" xr:uid="{00000000-0005-0000-0000-00001F0E0000}"/>
    <cellStyle name="Total 2 3 4 5" xfId="3569" xr:uid="{00000000-0005-0000-0000-0000200E0000}"/>
    <cellStyle name="Total 2 3 5" xfId="3570" xr:uid="{00000000-0005-0000-0000-0000210E0000}"/>
    <cellStyle name="Total 2 3 5 2" xfId="3571" xr:uid="{00000000-0005-0000-0000-0000220E0000}"/>
    <cellStyle name="Total 2 3 5 3" xfId="3572" xr:uid="{00000000-0005-0000-0000-0000230E0000}"/>
    <cellStyle name="Total 2 3 5 4" xfId="3573" xr:uid="{00000000-0005-0000-0000-0000240E0000}"/>
    <cellStyle name="Total 2 3 5 5" xfId="3574" xr:uid="{00000000-0005-0000-0000-0000250E0000}"/>
    <cellStyle name="Total 2 3 6" xfId="3575" xr:uid="{00000000-0005-0000-0000-0000260E0000}"/>
    <cellStyle name="Total 2 3 6 2" xfId="3576" xr:uid="{00000000-0005-0000-0000-0000270E0000}"/>
    <cellStyle name="Total 2 3 6 3" xfId="3577" xr:uid="{00000000-0005-0000-0000-0000280E0000}"/>
    <cellStyle name="Total 2 3 6 4" xfId="3578" xr:uid="{00000000-0005-0000-0000-0000290E0000}"/>
    <cellStyle name="Total 2 3 6 5" xfId="3579" xr:uid="{00000000-0005-0000-0000-00002A0E0000}"/>
    <cellStyle name="Total 2 3 7" xfId="3580" xr:uid="{00000000-0005-0000-0000-00002B0E0000}"/>
    <cellStyle name="Total 2 3 7 2" xfId="3581" xr:uid="{00000000-0005-0000-0000-00002C0E0000}"/>
    <cellStyle name="Total 2 3 7 3" xfId="3582" xr:uid="{00000000-0005-0000-0000-00002D0E0000}"/>
    <cellStyle name="Total 2 3 7 4" xfId="3583" xr:uid="{00000000-0005-0000-0000-00002E0E0000}"/>
    <cellStyle name="Total 2 3 7 5" xfId="3584" xr:uid="{00000000-0005-0000-0000-00002F0E0000}"/>
    <cellStyle name="Total 2 3 8" xfId="3585" xr:uid="{00000000-0005-0000-0000-0000300E0000}"/>
    <cellStyle name="Total 2 3 8 2" xfId="3586" xr:uid="{00000000-0005-0000-0000-0000310E0000}"/>
    <cellStyle name="Total 2 3 8 3" xfId="3587" xr:uid="{00000000-0005-0000-0000-0000320E0000}"/>
    <cellStyle name="Total 2 3 8 4" xfId="3588" xr:uid="{00000000-0005-0000-0000-0000330E0000}"/>
    <cellStyle name="Total 2 3 8 5" xfId="3589" xr:uid="{00000000-0005-0000-0000-0000340E0000}"/>
    <cellStyle name="Total 2 3 9" xfId="3590" xr:uid="{00000000-0005-0000-0000-0000350E0000}"/>
    <cellStyle name="Total 2 3 9 2" xfId="3591" xr:uid="{00000000-0005-0000-0000-0000360E0000}"/>
    <cellStyle name="Total 2 3 9 3" xfId="3592" xr:uid="{00000000-0005-0000-0000-0000370E0000}"/>
    <cellStyle name="Total 2 3 9 4" xfId="3593" xr:uid="{00000000-0005-0000-0000-0000380E0000}"/>
    <cellStyle name="Total 2 3 9 5" xfId="3594" xr:uid="{00000000-0005-0000-0000-0000390E0000}"/>
    <cellStyle name="Total 2 4" xfId="3595" xr:uid="{00000000-0005-0000-0000-00003A0E0000}"/>
    <cellStyle name="Total 2 4 10" xfId="3596" xr:uid="{00000000-0005-0000-0000-00003B0E0000}"/>
    <cellStyle name="Total 2 4 10 2" xfId="3597" xr:uid="{00000000-0005-0000-0000-00003C0E0000}"/>
    <cellStyle name="Total 2 4 10 3" xfId="3598" xr:uid="{00000000-0005-0000-0000-00003D0E0000}"/>
    <cellStyle name="Total 2 4 10 4" xfId="3599" xr:uid="{00000000-0005-0000-0000-00003E0E0000}"/>
    <cellStyle name="Total 2 4 10 5" xfId="3600" xr:uid="{00000000-0005-0000-0000-00003F0E0000}"/>
    <cellStyle name="Total 2 4 11" xfId="3601" xr:uid="{00000000-0005-0000-0000-0000400E0000}"/>
    <cellStyle name="Total 2 4 11 2" xfId="3602" xr:uid="{00000000-0005-0000-0000-0000410E0000}"/>
    <cellStyle name="Total 2 4 11 3" xfId="3603" xr:uid="{00000000-0005-0000-0000-0000420E0000}"/>
    <cellStyle name="Total 2 4 11 4" xfId="3604" xr:uid="{00000000-0005-0000-0000-0000430E0000}"/>
    <cellStyle name="Total 2 4 11 5" xfId="3605" xr:uid="{00000000-0005-0000-0000-0000440E0000}"/>
    <cellStyle name="Total 2 4 12" xfId="3606" xr:uid="{00000000-0005-0000-0000-0000450E0000}"/>
    <cellStyle name="Total 2 4 12 2" xfId="3607" xr:uid="{00000000-0005-0000-0000-0000460E0000}"/>
    <cellStyle name="Total 2 4 12 3" xfId="3608" xr:uid="{00000000-0005-0000-0000-0000470E0000}"/>
    <cellStyle name="Total 2 4 12 4" xfId="3609" xr:uid="{00000000-0005-0000-0000-0000480E0000}"/>
    <cellStyle name="Total 2 4 12 5" xfId="3610" xr:uid="{00000000-0005-0000-0000-0000490E0000}"/>
    <cellStyle name="Total 2 4 13" xfId="3611" xr:uid="{00000000-0005-0000-0000-00004A0E0000}"/>
    <cellStyle name="Total 2 4 13 2" xfId="3612" xr:uid="{00000000-0005-0000-0000-00004B0E0000}"/>
    <cellStyle name="Total 2 4 13 3" xfId="3613" xr:uid="{00000000-0005-0000-0000-00004C0E0000}"/>
    <cellStyle name="Total 2 4 13 4" xfId="3614" xr:uid="{00000000-0005-0000-0000-00004D0E0000}"/>
    <cellStyle name="Total 2 4 13 5" xfId="3615" xr:uid="{00000000-0005-0000-0000-00004E0E0000}"/>
    <cellStyle name="Total 2 4 14" xfId="3616" xr:uid="{00000000-0005-0000-0000-00004F0E0000}"/>
    <cellStyle name="Total 2 4 14 2" xfId="3617" xr:uid="{00000000-0005-0000-0000-0000500E0000}"/>
    <cellStyle name="Total 2 4 14 3" xfId="3618" xr:uid="{00000000-0005-0000-0000-0000510E0000}"/>
    <cellStyle name="Total 2 4 14 4" xfId="3619" xr:uid="{00000000-0005-0000-0000-0000520E0000}"/>
    <cellStyle name="Total 2 4 14 5" xfId="3620" xr:uid="{00000000-0005-0000-0000-0000530E0000}"/>
    <cellStyle name="Total 2 4 15" xfId="3621" xr:uid="{00000000-0005-0000-0000-0000540E0000}"/>
    <cellStyle name="Total 2 4 15 2" xfId="3622" xr:uid="{00000000-0005-0000-0000-0000550E0000}"/>
    <cellStyle name="Total 2 4 15 3" xfId="3623" xr:uid="{00000000-0005-0000-0000-0000560E0000}"/>
    <cellStyle name="Total 2 4 15 4" xfId="3624" xr:uid="{00000000-0005-0000-0000-0000570E0000}"/>
    <cellStyle name="Total 2 4 15 5" xfId="3625" xr:uid="{00000000-0005-0000-0000-0000580E0000}"/>
    <cellStyle name="Total 2 4 16" xfId="3626" xr:uid="{00000000-0005-0000-0000-0000590E0000}"/>
    <cellStyle name="Total 2 4 16 2" xfId="3627" xr:uid="{00000000-0005-0000-0000-00005A0E0000}"/>
    <cellStyle name="Total 2 4 16 3" xfId="3628" xr:uid="{00000000-0005-0000-0000-00005B0E0000}"/>
    <cellStyle name="Total 2 4 16 4" xfId="3629" xr:uid="{00000000-0005-0000-0000-00005C0E0000}"/>
    <cellStyle name="Total 2 4 16 5" xfId="3630" xr:uid="{00000000-0005-0000-0000-00005D0E0000}"/>
    <cellStyle name="Total 2 4 17" xfId="3631" xr:uid="{00000000-0005-0000-0000-00005E0E0000}"/>
    <cellStyle name="Total 2 4 17 2" xfId="3632" xr:uid="{00000000-0005-0000-0000-00005F0E0000}"/>
    <cellStyle name="Total 2 4 17 3" xfId="3633" xr:uid="{00000000-0005-0000-0000-0000600E0000}"/>
    <cellStyle name="Total 2 4 17 4" xfId="3634" xr:uid="{00000000-0005-0000-0000-0000610E0000}"/>
    <cellStyle name="Total 2 4 18" xfId="3635" xr:uid="{00000000-0005-0000-0000-0000620E0000}"/>
    <cellStyle name="Total 2 4 18 2" xfId="3636" xr:uid="{00000000-0005-0000-0000-0000630E0000}"/>
    <cellStyle name="Total 2 4 18 3" xfId="3637" xr:uid="{00000000-0005-0000-0000-0000640E0000}"/>
    <cellStyle name="Total 2 4 18 4" xfId="3638" xr:uid="{00000000-0005-0000-0000-0000650E0000}"/>
    <cellStyle name="Total 2 4 19" xfId="3639" xr:uid="{00000000-0005-0000-0000-0000660E0000}"/>
    <cellStyle name="Total 2 4 19 2" xfId="3640" xr:uid="{00000000-0005-0000-0000-0000670E0000}"/>
    <cellStyle name="Total 2 4 19 3" xfId="3641" xr:uid="{00000000-0005-0000-0000-0000680E0000}"/>
    <cellStyle name="Total 2 4 19 4" xfId="3642" xr:uid="{00000000-0005-0000-0000-0000690E0000}"/>
    <cellStyle name="Total 2 4 2" xfId="3643" xr:uid="{00000000-0005-0000-0000-00006A0E0000}"/>
    <cellStyle name="Total 2 4 2 2" xfId="3644" xr:uid="{00000000-0005-0000-0000-00006B0E0000}"/>
    <cellStyle name="Total 2 4 2 3" xfId="3645" xr:uid="{00000000-0005-0000-0000-00006C0E0000}"/>
    <cellStyle name="Total 2 4 2 4" xfId="3646" xr:uid="{00000000-0005-0000-0000-00006D0E0000}"/>
    <cellStyle name="Total 2 4 2 5" xfId="3647" xr:uid="{00000000-0005-0000-0000-00006E0E0000}"/>
    <cellStyle name="Total 2 4 20" xfId="3648" xr:uid="{00000000-0005-0000-0000-00006F0E0000}"/>
    <cellStyle name="Total 2 4 20 2" xfId="3649" xr:uid="{00000000-0005-0000-0000-0000700E0000}"/>
    <cellStyle name="Total 2 4 20 3" xfId="3650" xr:uid="{00000000-0005-0000-0000-0000710E0000}"/>
    <cellStyle name="Total 2 4 20 4" xfId="3651" xr:uid="{00000000-0005-0000-0000-0000720E0000}"/>
    <cellStyle name="Total 2 4 21" xfId="3652" xr:uid="{00000000-0005-0000-0000-0000730E0000}"/>
    <cellStyle name="Total 2 4 3" xfId="3653" xr:uid="{00000000-0005-0000-0000-0000740E0000}"/>
    <cellStyle name="Total 2 4 3 2" xfId="3654" xr:uid="{00000000-0005-0000-0000-0000750E0000}"/>
    <cellStyle name="Total 2 4 3 3" xfId="3655" xr:uid="{00000000-0005-0000-0000-0000760E0000}"/>
    <cellStyle name="Total 2 4 3 4" xfId="3656" xr:uid="{00000000-0005-0000-0000-0000770E0000}"/>
    <cellStyle name="Total 2 4 3 5" xfId="3657" xr:uid="{00000000-0005-0000-0000-0000780E0000}"/>
    <cellStyle name="Total 2 4 4" xfId="3658" xr:uid="{00000000-0005-0000-0000-0000790E0000}"/>
    <cellStyle name="Total 2 4 4 2" xfId="3659" xr:uid="{00000000-0005-0000-0000-00007A0E0000}"/>
    <cellStyle name="Total 2 4 4 3" xfId="3660" xr:uid="{00000000-0005-0000-0000-00007B0E0000}"/>
    <cellStyle name="Total 2 4 4 4" xfId="3661" xr:uid="{00000000-0005-0000-0000-00007C0E0000}"/>
    <cellStyle name="Total 2 4 4 5" xfId="3662" xr:uid="{00000000-0005-0000-0000-00007D0E0000}"/>
    <cellStyle name="Total 2 4 5" xfId="3663" xr:uid="{00000000-0005-0000-0000-00007E0E0000}"/>
    <cellStyle name="Total 2 4 5 2" xfId="3664" xr:uid="{00000000-0005-0000-0000-00007F0E0000}"/>
    <cellStyle name="Total 2 4 5 3" xfId="3665" xr:uid="{00000000-0005-0000-0000-0000800E0000}"/>
    <cellStyle name="Total 2 4 5 4" xfId="3666" xr:uid="{00000000-0005-0000-0000-0000810E0000}"/>
    <cellStyle name="Total 2 4 5 5" xfId="3667" xr:uid="{00000000-0005-0000-0000-0000820E0000}"/>
    <cellStyle name="Total 2 4 6" xfId="3668" xr:uid="{00000000-0005-0000-0000-0000830E0000}"/>
    <cellStyle name="Total 2 4 6 2" xfId="3669" xr:uid="{00000000-0005-0000-0000-0000840E0000}"/>
    <cellStyle name="Total 2 4 6 3" xfId="3670" xr:uid="{00000000-0005-0000-0000-0000850E0000}"/>
    <cellStyle name="Total 2 4 6 4" xfId="3671" xr:uid="{00000000-0005-0000-0000-0000860E0000}"/>
    <cellStyle name="Total 2 4 6 5" xfId="3672" xr:uid="{00000000-0005-0000-0000-0000870E0000}"/>
    <cellStyle name="Total 2 4 7" xfId="3673" xr:uid="{00000000-0005-0000-0000-0000880E0000}"/>
    <cellStyle name="Total 2 4 7 2" xfId="3674" xr:uid="{00000000-0005-0000-0000-0000890E0000}"/>
    <cellStyle name="Total 2 4 7 3" xfId="3675" xr:uid="{00000000-0005-0000-0000-00008A0E0000}"/>
    <cellStyle name="Total 2 4 7 4" xfId="3676" xr:uid="{00000000-0005-0000-0000-00008B0E0000}"/>
    <cellStyle name="Total 2 4 7 5" xfId="3677" xr:uid="{00000000-0005-0000-0000-00008C0E0000}"/>
    <cellStyle name="Total 2 4 8" xfId="3678" xr:uid="{00000000-0005-0000-0000-00008D0E0000}"/>
    <cellStyle name="Total 2 4 8 2" xfId="3679" xr:uid="{00000000-0005-0000-0000-00008E0E0000}"/>
    <cellStyle name="Total 2 4 8 3" xfId="3680" xr:uid="{00000000-0005-0000-0000-00008F0E0000}"/>
    <cellStyle name="Total 2 4 8 4" xfId="3681" xr:uid="{00000000-0005-0000-0000-0000900E0000}"/>
    <cellStyle name="Total 2 4 8 5" xfId="3682" xr:uid="{00000000-0005-0000-0000-0000910E0000}"/>
    <cellStyle name="Total 2 4 9" xfId="3683" xr:uid="{00000000-0005-0000-0000-0000920E0000}"/>
    <cellStyle name="Total 2 4 9 2" xfId="3684" xr:uid="{00000000-0005-0000-0000-0000930E0000}"/>
    <cellStyle name="Total 2 4 9 3" xfId="3685" xr:uid="{00000000-0005-0000-0000-0000940E0000}"/>
    <cellStyle name="Total 2 4 9 4" xfId="3686" xr:uid="{00000000-0005-0000-0000-0000950E0000}"/>
    <cellStyle name="Total 2 4 9 5" xfId="3687" xr:uid="{00000000-0005-0000-0000-0000960E0000}"/>
    <cellStyle name="Total 2 5" xfId="3688" xr:uid="{00000000-0005-0000-0000-0000970E0000}"/>
    <cellStyle name="Total 2 5 10" xfId="3689" xr:uid="{00000000-0005-0000-0000-0000980E0000}"/>
    <cellStyle name="Total 2 5 10 2" xfId="3690" xr:uid="{00000000-0005-0000-0000-0000990E0000}"/>
    <cellStyle name="Total 2 5 10 3" xfId="3691" xr:uid="{00000000-0005-0000-0000-00009A0E0000}"/>
    <cellStyle name="Total 2 5 10 4" xfId="3692" xr:uid="{00000000-0005-0000-0000-00009B0E0000}"/>
    <cellStyle name="Total 2 5 10 5" xfId="3693" xr:uid="{00000000-0005-0000-0000-00009C0E0000}"/>
    <cellStyle name="Total 2 5 11" xfId="3694" xr:uid="{00000000-0005-0000-0000-00009D0E0000}"/>
    <cellStyle name="Total 2 5 11 2" xfId="3695" xr:uid="{00000000-0005-0000-0000-00009E0E0000}"/>
    <cellStyle name="Total 2 5 11 3" xfId="3696" xr:uid="{00000000-0005-0000-0000-00009F0E0000}"/>
    <cellStyle name="Total 2 5 11 4" xfId="3697" xr:uid="{00000000-0005-0000-0000-0000A00E0000}"/>
    <cellStyle name="Total 2 5 11 5" xfId="3698" xr:uid="{00000000-0005-0000-0000-0000A10E0000}"/>
    <cellStyle name="Total 2 5 12" xfId="3699" xr:uid="{00000000-0005-0000-0000-0000A20E0000}"/>
    <cellStyle name="Total 2 5 12 2" xfId="3700" xr:uid="{00000000-0005-0000-0000-0000A30E0000}"/>
    <cellStyle name="Total 2 5 12 3" xfId="3701" xr:uid="{00000000-0005-0000-0000-0000A40E0000}"/>
    <cellStyle name="Total 2 5 12 4" xfId="3702" xr:uid="{00000000-0005-0000-0000-0000A50E0000}"/>
    <cellStyle name="Total 2 5 12 5" xfId="3703" xr:uid="{00000000-0005-0000-0000-0000A60E0000}"/>
    <cellStyle name="Total 2 5 13" xfId="3704" xr:uid="{00000000-0005-0000-0000-0000A70E0000}"/>
    <cellStyle name="Total 2 5 13 2" xfId="3705" xr:uid="{00000000-0005-0000-0000-0000A80E0000}"/>
    <cellStyle name="Total 2 5 13 3" xfId="3706" xr:uid="{00000000-0005-0000-0000-0000A90E0000}"/>
    <cellStyle name="Total 2 5 13 4" xfId="3707" xr:uid="{00000000-0005-0000-0000-0000AA0E0000}"/>
    <cellStyle name="Total 2 5 13 5" xfId="3708" xr:uid="{00000000-0005-0000-0000-0000AB0E0000}"/>
    <cellStyle name="Total 2 5 14" xfId="3709" xr:uid="{00000000-0005-0000-0000-0000AC0E0000}"/>
    <cellStyle name="Total 2 5 14 2" xfId="3710" xr:uid="{00000000-0005-0000-0000-0000AD0E0000}"/>
    <cellStyle name="Total 2 5 14 3" xfId="3711" xr:uid="{00000000-0005-0000-0000-0000AE0E0000}"/>
    <cellStyle name="Total 2 5 14 4" xfId="3712" xr:uid="{00000000-0005-0000-0000-0000AF0E0000}"/>
    <cellStyle name="Total 2 5 14 5" xfId="3713" xr:uid="{00000000-0005-0000-0000-0000B00E0000}"/>
    <cellStyle name="Total 2 5 15" xfId="3714" xr:uid="{00000000-0005-0000-0000-0000B10E0000}"/>
    <cellStyle name="Total 2 5 15 2" xfId="3715" xr:uid="{00000000-0005-0000-0000-0000B20E0000}"/>
    <cellStyle name="Total 2 5 15 3" xfId="3716" xr:uid="{00000000-0005-0000-0000-0000B30E0000}"/>
    <cellStyle name="Total 2 5 15 4" xfId="3717" xr:uid="{00000000-0005-0000-0000-0000B40E0000}"/>
    <cellStyle name="Total 2 5 15 5" xfId="3718" xr:uid="{00000000-0005-0000-0000-0000B50E0000}"/>
    <cellStyle name="Total 2 5 16" xfId="3719" xr:uid="{00000000-0005-0000-0000-0000B60E0000}"/>
    <cellStyle name="Total 2 5 16 2" xfId="3720" xr:uid="{00000000-0005-0000-0000-0000B70E0000}"/>
    <cellStyle name="Total 2 5 16 3" xfId="3721" xr:uid="{00000000-0005-0000-0000-0000B80E0000}"/>
    <cellStyle name="Total 2 5 16 4" xfId="3722" xr:uid="{00000000-0005-0000-0000-0000B90E0000}"/>
    <cellStyle name="Total 2 5 16 5" xfId="3723" xr:uid="{00000000-0005-0000-0000-0000BA0E0000}"/>
    <cellStyle name="Total 2 5 17" xfId="3724" xr:uid="{00000000-0005-0000-0000-0000BB0E0000}"/>
    <cellStyle name="Total 2 5 17 2" xfId="3725" xr:uid="{00000000-0005-0000-0000-0000BC0E0000}"/>
    <cellStyle name="Total 2 5 17 3" xfId="3726" xr:uid="{00000000-0005-0000-0000-0000BD0E0000}"/>
    <cellStyle name="Total 2 5 17 4" xfId="3727" xr:uid="{00000000-0005-0000-0000-0000BE0E0000}"/>
    <cellStyle name="Total 2 5 18" xfId="3728" xr:uid="{00000000-0005-0000-0000-0000BF0E0000}"/>
    <cellStyle name="Total 2 5 18 2" xfId="3729" xr:uid="{00000000-0005-0000-0000-0000C00E0000}"/>
    <cellStyle name="Total 2 5 18 3" xfId="3730" xr:uid="{00000000-0005-0000-0000-0000C10E0000}"/>
    <cellStyle name="Total 2 5 18 4" xfId="3731" xr:uid="{00000000-0005-0000-0000-0000C20E0000}"/>
    <cellStyle name="Total 2 5 19" xfId="3732" xr:uid="{00000000-0005-0000-0000-0000C30E0000}"/>
    <cellStyle name="Total 2 5 19 2" xfId="3733" xr:uid="{00000000-0005-0000-0000-0000C40E0000}"/>
    <cellStyle name="Total 2 5 19 3" xfId="3734" xr:uid="{00000000-0005-0000-0000-0000C50E0000}"/>
    <cellStyle name="Total 2 5 19 4" xfId="3735" xr:uid="{00000000-0005-0000-0000-0000C60E0000}"/>
    <cellStyle name="Total 2 5 2" xfId="3736" xr:uid="{00000000-0005-0000-0000-0000C70E0000}"/>
    <cellStyle name="Total 2 5 2 2" xfId="3737" xr:uid="{00000000-0005-0000-0000-0000C80E0000}"/>
    <cellStyle name="Total 2 5 2 3" xfId="3738" xr:uid="{00000000-0005-0000-0000-0000C90E0000}"/>
    <cellStyle name="Total 2 5 2 4" xfId="3739" xr:uid="{00000000-0005-0000-0000-0000CA0E0000}"/>
    <cellStyle name="Total 2 5 2 5" xfId="3740" xr:uid="{00000000-0005-0000-0000-0000CB0E0000}"/>
    <cellStyle name="Total 2 5 20" xfId="3741" xr:uid="{00000000-0005-0000-0000-0000CC0E0000}"/>
    <cellStyle name="Total 2 5 20 2" xfId="3742" xr:uid="{00000000-0005-0000-0000-0000CD0E0000}"/>
    <cellStyle name="Total 2 5 20 3" xfId="3743" xr:uid="{00000000-0005-0000-0000-0000CE0E0000}"/>
    <cellStyle name="Total 2 5 20 4" xfId="3744" xr:uid="{00000000-0005-0000-0000-0000CF0E0000}"/>
    <cellStyle name="Total 2 5 21" xfId="3745" xr:uid="{00000000-0005-0000-0000-0000D00E0000}"/>
    <cellStyle name="Total 2 5 3" xfId="3746" xr:uid="{00000000-0005-0000-0000-0000D10E0000}"/>
    <cellStyle name="Total 2 5 3 2" xfId="3747" xr:uid="{00000000-0005-0000-0000-0000D20E0000}"/>
    <cellStyle name="Total 2 5 3 3" xfId="3748" xr:uid="{00000000-0005-0000-0000-0000D30E0000}"/>
    <cellStyle name="Total 2 5 3 4" xfId="3749" xr:uid="{00000000-0005-0000-0000-0000D40E0000}"/>
    <cellStyle name="Total 2 5 3 5" xfId="3750" xr:uid="{00000000-0005-0000-0000-0000D50E0000}"/>
    <cellStyle name="Total 2 5 4" xfId="3751" xr:uid="{00000000-0005-0000-0000-0000D60E0000}"/>
    <cellStyle name="Total 2 5 4 2" xfId="3752" xr:uid="{00000000-0005-0000-0000-0000D70E0000}"/>
    <cellStyle name="Total 2 5 4 3" xfId="3753" xr:uid="{00000000-0005-0000-0000-0000D80E0000}"/>
    <cellStyle name="Total 2 5 4 4" xfId="3754" xr:uid="{00000000-0005-0000-0000-0000D90E0000}"/>
    <cellStyle name="Total 2 5 4 5" xfId="3755" xr:uid="{00000000-0005-0000-0000-0000DA0E0000}"/>
    <cellStyle name="Total 2 5 5" xfId="3756" xr:uid="{00000000-0005-0000-0000-0000DB0E0000}"/>
    <cellStyle name="Total 2 5 5 2" xfId="3757" xr:uid="{00000000-0005-0000-0000-0000DC0E0000}"/>
    <cellStyle name="Total 2 5 5 3" xfId="3758" xr:uid="{00000000-0005-0000-0000-0000DD0E0000}"/>
    <cellStyle name="Total 2 5 5 4" xfId="3759" xr:uid="{00000000-0005-0000-0000-0000DE0E0000}"/>
    <cellStyle name="Total 2 5 5 5" xfId="3760" xr:uid="{00000000-0005-0000-0000-0000DF0E0000}"/>
    <cellStyle name="Total 2 5 6" xfId="3761" xr:uid="{00000000-0005-0000-0000-0000E00E0000}"/>
    <cellStyle name="Total 2 5 6 2" xfId="3762" xr:uid="{00000000-0005-0000-0000-0000E10E0000}"/>
    <cellStyle name="Total 2 5 6 3" xfId="3763" xr:uid="{00000000-0005-0000-0000-0000E20E0000}"/>
    <cellStyle name="Total 2 5 6 4" xfId="3764" xr:uid="{00000000-0005-0000-0000-0000E30E0000}"/>
    <cellStyle name="Total 2 5 6 5" xfId="3765" xr:uid="{00000000-0005-0000-0000-0000E40E0000}"/>
    <cellStyle name="Total 2 5 7" xfId="3766" xr:uid="{00000000-0005-0000-0000-0000E50E0000}"/>
    <cellStyle name="Total 2 5 7 2" xfId="3767" xr:uid="{00000000-0005-0000-0000-0000E60E0000}"/>
    <cellStyle name="Total 2 5 7 3" xfId="3768" xr:uid="{00000000-0005-0000-0000-0000E70E0000}"/>
    <cellStyle name="Total 2 5 7 4" xfId="3769" xr:uid="{00000000-0005-0000-0000-0000E80E0000}"/>
    <cellStyle name="Total 2 5 7 5" xfId="3770" xr:uid="{00000000-0005-0000-0000-0000E90E0000}"/>
    <cellStyle name="Total 2 5 8" xfId="3771" xr:uid="{00000000-0005-0000-0000-0000EA0E0000}"/>
    <cellStyle name="Total 2 5 8 2" xfId="3772" xr:uid="{00000000-0005-0000-0000-0000EB0E0000}"/>
    <cellStyle name="Total 2 5 8 3" xfId="3773" xr:uid="{00000000-0005-0000-0000-0000EC0E0000}"/>
    <cellStyle name="Total 2 5 8 4" xfId="3774" xr:uid="{00000000-0005-0000-0000-0000ED0E0000}"/>
    <cellStyle name="Total 2 5 8 5" xfId="3775" xr:uid="{00000000-0005-0000-0000-0000EE0E0000}"/>
    <cellStyle name="Total 2 5 9" xfId="3776" xr:uid="{00000000-0005-0000-0000-0000EF0E0000}"/>
    <cellStyle name="Total 2 5 9 2" xfId="3777" xr:uid="{00000000-0005-0000-0000-0000F00E0000}"/>
    <cellStyle name="Total 2 5 9 3" xfId="3778" xr:uid="{00000000-0005-0000-0000-0000F10E0000}"/>
    <cellStyle name="Total 2 5 9 4" xfId="3779" xr:uid="{00000000-0005-0000-0000-0000F20E0000}"/>
    <cellStyle name="Total 2 5 9 5" xfId="3780" xr:uid="{00000000-0005-0000-0000-0000F30E0000}"/>
    <cellStyle name="Total 2 6" xfId="3781" xr:uid="{00000000-0005-0000-0000-0000F40E0000}"/>
    <cellStyle name="Total 2 6 10" xfId="3782" xr:uid="{00000000-0005-0000-0000-0000F50E0000}"/>
    <cellStyle name="Total 2 6 10 2" xfId="3783" xr:uid="{00000000-0005-0000-0000-0000F60E0000}"/>
    <cellStyle name="Total 2 6 10 3" xfId="3784" xr:uid="{00000000-0005-0000-0000-0000F70E0000}"/>
    <cellStyle name="Total 2 6 10 4" xfId="3785" xr:uid="{00000000-0005-0000-0000-0000F80E0000}"/>
    <cellStyle name="Total 2 6 10 5" xfId="3786" xr:uid="{00000000-0005-0000-0000-0000F90E0000}"/>
    <cellStyle name="Total 2 6 11" xfId="3787" xr:uid="{00000000-0005-0000-0000-0000FA0E0000}"/>
    <cellStyle name="Total 2 6 11 2" xfId="3788" xr:uid="{00000000-0005-0000-0000-0000FB0E0000}"/>
    <cellStyle name="Total 2 6 11 3" xfId="3789" xr:uid="{00000000-0005-0000-0000-0000FC0E0000}"/>
    <cellStyle name="Total 2 6 11 4" xfId="3790" xr:uid="{00000000-0005-0000-0000-0000FD0E0000}"/>
    <cellStyle name="Total 2 6 11 5" xfId="3791" xr:uid="{00000000-0005-0000-0000-0000FE0E0000}"/>
    <cellStyle name="Total 2 6 12" xfId="3792" xr:uid="{00000000-0005-0000-0000-0000FF0E0000}"/>
    <cellStyle name="Total 2 6 12 2" xfId="3793" xr:uid="{00000000-0005-0000-0000-0000000F0000}"/>
    <cellStyle name="Total 2 6 12 3" xfId="3794" xr:uid="{00000000-0005-0000-0000-0000010F0000}"/>
    <cellStyle name="Total 2 6 12 4" xfId="3795" xr:uid="{00000000-0005-0000-0000-0000020F0000}"/>
    <cellStyle name="Total 2 6 12 5" xfId="3796" xr:uid="{00000000-0005-0000-0000-0000030F0000}"/>
    <cellStyle name="Total 2 6 13" xfId="3797" xr:uid="{00000000-0005-0000-0000-0000040F0000}"/>
    <cellStyle name="Total 2 6 13 2" xfId="3798" xr:uid="{00000000-0005-0000-0000-0000050F0000}"/>
    <cellStyle name="Total 2 6 13 3" xfId="3799" xr:uid="{00000000-0005-0000-0000-0000060F0000}"/>
    <cellStyle name="Total 2 6 13 4" xfId="3800" xr:uid="{00000000-0005-0000-0000-0000070F0000}"/>
    <cellStyle name="Total 2 6 13 5" xfId="3801" xr:uid="{00000000-0005-0000-0000-0000080F0000}"/>
    <cellStyle name="Total 2 6 14" xfId="3802" xr:uid="{00000000-0005-0000-0000-0000090F0000}"/>
    <cellStyle name="Total 2 6 14 2" xfId="3803" xr:uid="{00000000-0005-0000-0000-00000A0F0000}"/>
    <cellStyle name="Total 2 6 14 3" xfId="3804" xr:uid="{00000000-0005-0000-0000-00000B0F0000}"/>
    <cellStyle name="Total 2 6 14 4" xfId="3805" xr:uid="{00000000-0005-0000-0000-00000C0F0000}"/>
    <cellStyle name="Total 2 6 14 5" xfId="3806" xr:uid="{00000000-0005-0000-0000-00000D0F0000}"/>
    <cellStyle name="Total 2 6 15" xfId="3807" xr:uid="{00000000-0005-0000-0000-00000E0F0000}"/>
    <cellStyle name="Total 2 6 15 2" xfId="3808" xr:uid="{00000000-0005-0000-0000-00000F0F0000}"/>
    <cellStyle name="Total 2 6 15 3" xfId="3809" xr:uid="{00000000-0005-0000-0000-0000100F0000}"/>
    <cellStyle name="Total 2 6 15 4" xfId="3810" xr:uid="{00000000-0005-0000-0000-0000110F0000}"/>
    <cellStyle name="Total 2 6 15 5" xfId="3811" xr:uid="{00000000-0005-0000-0000-0000120F0000}"/>
    <cellStyle name="Total 2 6 16" xfId="3812" xr:uid="{00000000-0005-0000-0000-0000130F0000}"/>
    <cellStyle name="Total 2 6 16 2" xfId="3813" xr:uid="{00000000-0005-0000-0000-0000140F0000}"/>
    <cellStyle name="Total 2 6 16 3" xfId="3814" xr:uid="{00000000-0005-0000-0000-0000150F0000}"/>
    <cellStyle name="Total 2 6 16 4" xfId="3815" xr:uid="{00000000-0005-0000-0000-0000160F0000}"/>
    <cellStyle name="Total 2 6 16 5" xfId="3816" xr:uid="{00000000-0005-0000-0000-0000170F0000}"/>
    <cellStyle name="Total 2 6 17" xfId="3817" xr:uid="{00000000-0005-0000-0000-0000180F0000}"/>
    <cellStyle name="Total 2 6 17 2" xfId="3818" xr:uid="{00000000-0005-0000-0000-0000190F0000}"/>
    <cellStyle name="Total 2 6 17 3" xfId="3819" xr:uid="{00000000-0005-0000-0000-00001A0F0000}"/>
    <cellStyle name="Total 2 6 17 4" xfId="3820" xr:uid="{00000000-0005-0000-0000-00001B0F0000}"/>
    <cellStyle name="Total 2 6 17 5" xfId="3821" xr:uid="{00000000-0005-0000-0000-00001C0F0000}"/>
    <cellStyle name="Total 2 6 18" xfId="3822" xr:uid="{00000000-0005-0000-0000-00001D0F0000}"/>
    <cellStyle name="Total 2 6 18 2" xfId="3823" xr:uid="{00000000-0005-0000-0000-00001E0F0000}"/>
    <cellStyle name="Total 2 6 18 3" xfId="3824" xr:uid="{00000000-0005-0000-0000-00001F0F0000}"/>
    <cellStyle name="Total 2 6 18 4" xfId="3825" xr:uid="{00000000-0005-0000-0000-0000200F0000}"/>
    <cellStyle name="Total 2 6 18 5" xfId="3826" xr:uid="{00000000-0005-0000-0000-0000210F0000}"/>
    <cellStyle name="Total 2 6 19" xfId="3827" xr:uid="{00000000-0005-0000-0000-0000220F0000}"/>
    <cellStyle name="Total 2 6 19 2" xfId="3828" xr:uid="{00000000-0005-0000-0000-0000230F0000}"/>
    <cellStyle name="Total 2 6 19 3" xfId="3829" xr:uid="{00000000-0005-0000-0000-0000240F0000}"/>
    <cellStyle name="Total 2 6 19 4" xfId="3830" xr:uid="{00000000-0005-0000-0000-0000250F0000}"/>
    <cellStyle name="Total 2 6 19 5" xfId="3831" xr:uid="{00000000-0005-0000-0000-0000260F0000}"/>
    <cellStyle name="Total 2 6 2" xfId="3832" xr:uid="{00000000-0005-0000-0000-0000270F0000}"/>
    <cellStyle name="Total 2 6 2 2" xfId="3833" xr:uid="{00000000-0005-0000-0000-0000280F0000}"/>
    <cellStyle name="Total 2 6 2 3" xfId="3834" xr:uid="{00000000-0005-0000-0000-0000290F0000}"/>
    <cellStyle name="Total 2 6 2 4" xfId="3835" xr:uid="{00000000-0005-0000-0000-00002A0F0000}"/>
    <cellStyle name="Total 2 6 2 5" xfId="3836" xr:uid="{00000000-0005-0000-0000-00002B0F0000}"/>
    <cellStyle name="Total 2 6 20" xfId="3837" xr:uid="{00000000-0005-0000-0000-00002C0F0000}"/>
    <cellStyle name="Total 2 6 20 2" xfId="3838" xr:uid="{00000000-0005-0000-0000-00002D0F0000}"/>
    <cellStyle name="Total 2 6 20 3" xfId="3839" xr:uid="{00000000-0005-0000-0000-00002E0F0000}"/>
    <cellStyle name="Total 2 6 20 4" xfId="3840" xr:uid="{00000000-0005-0000-0000-00002F0F0000}"/>
    <cellStyle name="Total 2 6 20 5" xfId="3841" xr:uid="{00000000-0005-0000-0000-0000300F0000}"/>
    <cellStyle name="Total 2 6 21" xfId="3842" xr:uid="{00000000-0005-0000-0000-0000310F0000}"/>
    <cellStyle name="Total 2 6 21 2" xfId="3843" xr:uid="{00000000-0005-0000-0000-0000320F0000}"/>
    <cellStyle name="Total 2 6 21 3" xfId="3844" xr:uid="{00000000-0005-0000-0000-0000330F0000}"/>
    <cellStyle name="Total 2 6 21 4" xfId="3845" xr:uid="{00000000-0005-0000-0000-0000340F0000}"/>
    <cellStyle name="Total 2 6 21 5" xfId="3846" xr:uid="{00000000-0005-0000-0000-0000350F0000}"/>
    <cellStyle name="Total 2 6 22" xfId="3847" xr:uid="{00000000-0005-0000-0000-0000360F0000}"/>
    <cellStyle name="Total 2 6 22 2" xfId="3848" xr:uid="{00000000-0005-0000-0000-0000370F0000}"/>
    <cellStyle name="Total 2 6 22 3" xfId="3849" xr:uid="{00000000-0005-0000-0000-0000380F0000}"/>
    <cellStyle name="Total 2 6 22 4" xfId="3850" xr:uid="{00000000-0005-0000-0000-0000390F0000}"/>
    <cellStyle name="Total 2 6 23" xfId="3851" xr:uid="{00000000-0005-0000-0000-00003A0F0000}"/>
    <cellStyle name="Total 2 6 23 2" xfId="3852" xr:uid="{00000000-0005-0000-0000-00003B0F0000}"/>
    <cellStyle name="Total 2 6 23 3" xfId="3853" xr:uid="{00000000-0005-0000-0000-00003C0F0000}"/>
    <cellStyle name="Total 2 6 23 4" xfId="3854" xr:uid="{00000000-0005-0000-0000-00003D0F0000}"/>
    <cellStyle name="Total 2 6 24" xfId="3855" xr:uid="{00000000-0005-0000-0000-00003E0F0000}"/>
    <cellStyle name="Total 2 6 24 2" xfId="3856" xr:uid="{00000000-0005-0000-0000-00003F0F0000}"/>
    <cellStyle name="Total 2 6 24 3" xfId="3857" xr:uid="{00000000-0005-0000-0000-0000400F0000}"/>
    <cellStyle name="Total 2 6 24 4" xfId="3858" xr:uid="{00000000-0005-0000-0000-0000410F0000}"/>
    <cellStyle name="Total 2 6 25" xfId="3859" xr:uid="{00000000-0005-0000-0000-0000420F0000}"/>
    <cellStyle name="Total 2 6 25 2" xfId="3860" xr:uid="{00000000-0005-0000-0000-0000430F0000}"/>
    <cellStyle name="Total 2 6 25 3" xfId="3861" xr:uid="{00000000-0005-0000-0000-0000440F0000}"/>
    <cellStyle name="Total 2 6 25 4" xfId="3862" xr:uid="{00000000-0005-0000-0000-0000450F0000}"/>
    <cellStyle name="Total 2 6 3" xfId="3863" xr:uid="{00000000-0005-0000-0000-0000460F0000}"/>
    <cellStyle name="Total 2 6 3 2" xfId="3864" xr:uid="{00000000-0005-0000-0000-0000470F0000}"/>
    <cellStyle name="Total 2 6 3 3" xfId="3865" xr:uid="{00000000-0005-0000-0000-0000480F0000}"/>
    <cellStyle name="Total 2 6 3 4" xfId="3866" xr:uid="{00000000-0005-0000-0000-0000490F0000}"/>
    <cellStyle name="Total 2 6 3 5" xfId="3867" xr:uid="{00000000-0005-0000-0000-00004A0F0000}"/>
    <cellStyle name="Total 2 6 4" xfId="3868" xr:uid="{00000000-0005-0000-0000-00004B0F0000}"/>
    <cellStyle name="Total 2 6 4 2" xfId="3869" xr:uid="{00000000-0005-0000-0000-00004C0F0000}"/>
    <cellStyle name="Total 2 6 4 3" xfId="3870" xr:uid="{00000000-0005-0000-0000-00004D0F0000}"/>
    <cellStyle name="Total 2 6 4 4" xfId="3871" xr:uid="{00000000-0005-0000-0000-00004E0F0000}"/>
    <cellStyle name="Total 2 6 4 5" xfId="3872" xr:uid="{00000000-0005-0000-0000-00004F0F0000}"/>
    <cellStyle name="Total 2 6 5" xfId="3873" xr:uid="{00000000-0005-0000-0000-0000500F0000}"/>
    <cellStyle name="Total 2 6 5 2" xfId="3874" xr:uid="{00000000-0005-0000-0000-0000510F0000}"/>
    <cellStyle name="Total 2 6 5 3" xfId="3875" xr:uid="{00000000-0005-0000-0000-0000520F0000}"/>
    <cellStyle name="Total 2 6 5 4" xfId="3876" xr:uid="{00000000-0005-0000-0000-0000530F0000}"/>
    <cellStyle name="Total 2 6 5 5" xfId="3877" xr:uid="{00000000-0005-0000-0000-0000540F0000}"/>
    <cellStyle name="Total 2 6 6" xfId="3878" xr:uid="{00000000-0005-0000-0000-0000550F0000}"/>
    <cellStyle name="Total 2 6 6 2" xfId="3879" xr:uid="{00000000-0005-0000-0000-0000560F0000}"/>
    <cellStyle name="Total 2 6 6 3" xfId="3880" xr:uid="{00000000-0005-0000-0000-0000570F0000}"/>
    <cellStyle name="Total 2 6 6 4" xfId="3881" xr:uid="{00000000-0005-0000-0000-0000580F0000}"/>
    <cellStyle name="Total 2 6 6 5" xfId="3882" xr:uid="{00000000-0005-0000-0000-0000590F0000}"/>
    <cellStyle name="Total 2 6 7" xfId="3883" xr:uid="{00000000-0005-0000-0000-00005A0F0000}"/>
    <cellStyle name="Total 2 6 7 2" xfId="3884" xr:uid="{00000000-0005-0000-0000-00005B0F0000}"/>
    <cellStyle name="Total 2 6 7 3" xfId="3885" xr:uid="{00000000-0005-0000-0000-00005C0F0000}"/>
    <cellStyle name="Total 2 6 7 4" xfId="3886" xr:uid="{00000000-0005-0000-0000-00005D0F0000}"/>
    <cellStyle name="Total 2 6 7 5" xfId="3887" xr:uid="{00000000-0005-0000-0000-00005E0F0000}"/>
    <cellStyle name="Total 2 6 8" xfId="3888" xr:uid="{00000000-0005-0000-0000-00005F0F0000}"/>
    <cellStyle name="Total 2 6 8 2" xfId="3889" xr:uid="{00000000-0005-0000-0000-0000600F0000}"/>
    <cellStyle name="Total 2 6 8 3" xfId="3890" xr:uid="{00000000-0005-0000-0000-0000610F0000}"/>
    <cellStyle name="Total 2 6 8 4" xfId="3891" xr:uid="{00000000-0005-0000-0000-0000620F0000}"/>
    <cellStyle name="Total 2 6 8 5" xfId="3892" xr:uid="{00000000-0005-0000-0000-0000630F0000}"/>
    <cellStyle name="Total 2 6 9" xfId="3893" xr:uid="{00000000-0005-0000-0000-0000640F0000}"/>
    <cellStyle name="Total 2 6 9 2" xfId="3894" xr:uid="{00000000-0005-0000-0000-0000650F0000}"/>
    <cellStyle name="Total 2 6 9 3" xfId="3895" xr:uid="{00000000-0005-0000-0000-0000660F0000}"/>
    <cellStyle name="Total 2 6 9 4" xfId="3896" xr:uid="{00000000-0005-0000-0000-0000670F0000}"/>
    <cellStyle name="Total 2 6 9 5" xfId="3897" xr:uid="{00000000-0005-0000-0000-0000680F0000}"/>
    <cellStyle name="Total 2 7" xfId="3898" xr:uid="{00000000-0005-0000-0000-0000690F0000}"/>
    <cellStyle name="Total 2 7 2" xfId="3899" xr:uid="{00000000-0005-0000-0000-00006A0F0000}"/>
    <cellStyle name="Total 2 7 3" xfId="3900" xr:uid="{00000000-0005-0000-0000-00006B0F0000}"/>
    <cellStyle name="Total 2 7 4" xfId="3901" xr:uid="{00000000-0005-0000-0000-00006C0F0000}"/>
    <cellStyle name="Total 2 7 5" xfId="3902" xr:uid="{00000000-0005-0000-0000-00006D0F0000}"/>
    <cellStyle name="Total 2 8" xfId="3903" xr:uid="{00000000-0005-0000-0000-00006E0F0000}"/>
    <cellStyle name="Total 2 8 2" xfId="3904" xr:uid="{00000000-0005-0000-0000-00006F0F0000}"/>
    <cellStyle name="Total 2 8 3" xfId="3905" xr:uid="{00000000-0005-0000-0000-0000700F0000}"/>
    <cellStyle name="Total 2 8 4" xfId="3906" xr:uid="{00000000-0005-0000-0000-0000710F0000}"/>
    <cellStyle name="Total 2 8 5" xfId="3907" xr:uid="{00000000-0005-0000-0000-0000720F0000}"/>
    <cellStyle name="Total 2 9" xfId="3908" xr:uid="{00000000-0005-0000-0000-0000730F0000}"/>
    <cellStyle name="Total 2 9 2" xfId="3909" xr:uid="{00000000-0005-0000-0000-0000740F0000}"/>
    <cellStyle name="Total 2 9 3" xfId="3910" xr:uid="{00000000-0005-0000-0000-0000750F0000}"/>
    <cellStyle name="Total 2 9 4" xfId="3911" xr:uid="{00000000-0005-0000-0000-0000760F0000}"/>
    <cellStyle name="Total 2 9 5" xfId="3912" xr:uid="{00000000-0005-0000-0000-0000770F0000}"/>
    <cellStyle name="TotalStyleCurrency" xfId="3913" xr:uid="{00000000-0005-0000-0000-0000780F0000}"/>
    <cellStyle name="TotalStyleText" xfId="3914" xr:uid="{00000000-0005-0000-0000-0000790F0000}"/>
    <cellStyle name="u5shares" xfId="179" xr:uid="{00000000-0005-0000-0000-00007A0F0000}"/>
    <cellStyle name="Variable assumptions" xfId="180" xr:uid="{00000000-0005-0000-0000-00007B0F0000}"/>
    <cellStyle name="Warning Text 2" xfId="181" xr:uid="{00000000-0005-0000-0000-00007C0F0000}"/>
    <cellStyle name="Warning Text 2 2" xfId="3915" xr:uid="{00000000-0005-0000-0000-00007D0F0000}"/>
  </cellStyles>
  <dxfs count="37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FF0000"/>
      </font>
    </dxf>
    <dxf>
      <font>
        <b/>
        <i/>
        <color rgb="FFFF0000"/>
      </font>
      <fill>
        <patternFill>
          <bgColor theme="8" tint="0.79998168889431442"/>
        </patternFill>
      </fill>
    </dxf>
    <dxf>
      <font>
        <color rgb="FFFF0000"/>
      </font>
    </dxf>
    <dxf>
      <numFmt numFmtId="180" formatCode="&quot;-&quot;"/>
    </dxf>
    <dxf>
      <numFmt numFmtId="180" formatCode="&quot;-&quot;"/>
    </dxf>
    <dxf>
      <font>
        <color rgb="FFFF0000"/>
      </font>
    </dxf>
  </dxfs>
  <tableStyles count="0" defaultTableStyle="TableStyleMedium2" defaultPivotStyle="PivotStyleLight16"/>
  <colors>
    <mruColors>
      <color rgb="FFD00070"/>
      <color rgb="FF3C3C3B"/>
      <color rgb="FF84329B"/>
      <color rgb="FF99FFCC"/>
      <color rgb="FFFFCCFF"/>
      <color rgb="FF99CCFF"/>
      <color rgb="FFCCCCFF"/>
      <color rgb="FFFFFFCC"/>
      <color rgb="FFFDE8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288390</xdr:colOff>
      <xdr:row>0</xdr:row>
      <xdr:rowOff>176894</xdr:rowOff>
    </xdr:from>
    <xdr:to>
      <xdr:col>18</xdr:col>
      <xdr:colOff>829956</xdr:colOff>
      <xdr:row>3</xdr:row>
      <xdr:rowOff>217715</xdr:rowOff>
    </xdr:to>
    <xdr:pic>
      <xdr:nvPicPr>
        <xdr:cNvPr id="5" name="Picture 4" descr="Birmingham City Council Logo">
          <a:extLst>
            <a:ext uri="{FF2B5EF4-FFF2-40B4-BE49-F238E27FC236}">
              <a16:creationId xmlns:a16="http://schemas.microsoft.com/office/drawing/2014/main" id="{92F6C8E5-89AD-DAB4-20F7-17CDDA0E7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51497" y="176894"/>
          <a:ext cx="4310744" cy="979714"/>
        </a:xfrm>
        <a:prstGeom prst="rect">
          <a:avLst/>
        </a:prstGeom>
      </xdr:spPr>
    </xdr:pic>
    <xdr:clientData/>
  </xdr:twoCellAnchor>
  <xdr:twoCellAnchor editAs="oneCell">
    <xdr:from>
      <xdr:col>14</xdr:col>
      <xdr:colOff>176892</xdr:colOff>
      <xdr:row>4</xdr:row>
      <xdr:rowOff>108857</xdr:rowOff>
    </xdr:from>
    <xdr:to>
      <xdr:col>19</xdr:col>
      <xdr:colOff>104815</xdr:colOff>
      <xdr:row>6</xdr:row>
      <xdr:rowOff>163285</xdr:rowOff>
    </xdr:to>
    <xdr:pic>
      <xdr:nvPicPr>
        <xdr:cNvPr id="2" name="Picture 1" descr="Reset, Reshape, Restart Logo ">
          <a:extLst>
            <a:ext uri="{FF2B5EF4-FFF2-40B4-BE49-F238E27FC236}">
              <a16:creationId xmlns:a16="http://schemas.microsoft.com/office/drawing/2014/main" id="{FCC252E5-C559-5AA7-9181-3D5B67708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39999" y="1292678"/>
          <a:ext cx="4663209" cy="54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uk/government/publications/universal-infant-free-school-meals-uifsm-2023-to-2024" TargetMode="External"/><Relationship Id="rId13" Type="http://schemas.openxmlformats.org/officeDocument/2006/relationships/hyperlink" Target="https://www.gov.uk/government/publications/teachers-pay-additional-grant-2024-to-2025" TargetMode="External"/><Relationship Id="rId3" Type="http://schemas.openxmlformats.org/officeDocument/2006/relationships/hyperlink" Target="https://www.gov.uk/government/publications/senior-mental-health-lead-training-grant-funding" TargetMode="External"/><Relationship Id="rId7" Type="http://schemas.openxmlformats.org/officeDocument/2006/relationships/hyperlink" Target="https://www.gov.uk/government/publications/coronavirus-covid-19-recovery-premium-funding-allocations-and-conditions-of-grant-2023-to-2024" TargetMode="External"/><Relationship Id="rId12" Type="http://schemas.openxmlformats.org/officeDocument/2006/relationships/hyperlink" Target="https://www.gov.uk/government/publications/teachers-pension-employer-contribution-grant-2024-for-schools-high-needs-settings-and-local-authorities-2024-to-2025" TargetMode="External"/><Relationship Id="rId2" Type="http://schemas.openxmlformats.org/officeDocument/2006/relationships/hyperlink" Target="https://www.gov.uk/government/publications/teachers-pay-additional-grant-2024-to-2025" TargetMode="External"/><Relationship Id="rId1" Type="http://schemas.openxmlformats.org/officeDocument/2006/relationships/hyperlink" Target="https://www.gov.uk/government/publications/teachers-pension-employer-contribution-grant-2024-for-schools-high-needs-settings-and-local-authorities-2024-to-2025" TargetMode="External"/><Relationship Id="rId6" Type="http://schemas.openxmlformats.org/officeDocument/2006/relationships/hyperlink" Target="https://www.gov.uk/government/publications/pupil-premium-allocations-and-conditions-of-grant-2024-to-2025" TargetMode="External"/><Relationship Id="rId11" Type="http://schemas.openxmlformats.org/officeDocument/2006/relationships/hyperlink" Target="https://www.gov.uk/government/publications/teachers-pension-scheme-employer-contribution-grant-for-maintained-schools-and-academies-with-16-to-19-provision-2024-to-2025" TargetMode="External"/><Relationship Id="rId5" Type="http://schemas.openxmlformats.org/officeDocument/2006/relationships/hyperlink" Target="https://www.gov.uk/government/publications/pe-and-sport-premium-conditions-of-grant-2023-to-2024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gov.uk/government/publications/targeted-support-funding-for-national-professional-qualifications" TargetMode="External"/><Relationship Id="rId4" Type="http://schemas.openxmlformats.org/officeDocument/2006/relationships/hyperlink" Target="https://www.gov.uk/government/publications/national-tutoring-programme-ntp-allocations-for-2023-to-2024-academic-year" TargetMode="External"/><Relationship Id="rId9" Type="http://schemas.openxmlformats.org/officeDocument/2006/relationships/hyperlink" Target="https://www.gov.uk/government/publications/universal-infant-free-school-meals-uifsm-2024-to-2025" TargetMode="External"/><Relationship Id="rId1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../AppData/Local/Microsoft/Windows/INetCache/Content.Outlook/AppData/Local/Microsoft/Windows/Insurance%20RPA/2024-25/Insurance%20Charges%2024-25%20WP.xls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../AppData/Local/Microsoft/Windows/INetCache/Content.Outlook/AppData/Local/Microsoft/Windows/Web%20Uploads%20Budgets/Early%20Years%202024-25%20Upload/Early%20Years%20Single%20Funding%20Formula%20Indicative%20Allocation%202425%20v2.xls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F155"/>
  <sheetViews>
    <sheetView showGridLines="0" tabSelected="1" topLeftCell="B1" zoomScale="70" zoomScaleNormal="70" zoomScaleSheetLayoutView="90" workbookViewId="0">
      <pane ySplit="7" topLeftCell="A9" activePane="bottomLeft" state="frozen"/>
      <selection pane="bottomLeft" activeCell="C1" sqref="C1"/>
    </sheetView>
  </sheetViews>
  <sheetFormatPr defaultRowHeight="14.5"/>
  <cols>
    <col min="1" max="1" width="1.7265625" customWidth="1"/>
    <col min="2" max="2" width="5.7265625" customWidth="1"/>
    <col min="3" max="3" width="57.81640625" customWidth="1"/>
    <col min="4" max="4" width="26" bestFit="1" customWidth="1"/>
    <col min="5" max="5" width="15.81640625" customWidth="1"/>
    <col min="6" max="16" width="13.453125" bestFit="1" customWidth="1"/>
    <col min="17" max="17" width="14.26953125" bestFit="1" customWidth="1"/>
    <col min="18" max="18" width="15.26953125" bestFit="1" customWidth="1"/>
    <col min="19" max="19" width="14.54296875" customWidth="1"/>
    <col min="20" max="20" width="2" customWidth="1"/>
    <col min="21" max="21" width="1.7265625" customWidth="1"/>
    <col min="22" max="22" width="21.453125" bestFit="1" customWidth="1"/>
    <col min="23" max="23" width="25" customWidth="1"/>
    <col min="24" max="24" width="9.1796875" customWidth="1"/>
  </cols>
  <sheetData>
    <row r="1" spans="2:24" ht="25" customHeight="1">
      <c r="B1" s="350"/>
      <c r="C1" s="380" t="s">
        <v>216</v>
      </c>
      <c r="D1" s="381"/>
      <c r="E1" s="381"/>
      <c r="F1" s="351"/>
      <c r="G1" s="351"/>
      <c r="H1" s="351"/>
      <c r="I1" s="351"/>
      <c r="J1" s="351"/>
      <c r="K1" s="351"/>
      <c r="L1" s="351"/>
      <c r="M1" s="351"/>
      <c r="N1" s="352"/>
      <c r="O1" s="352"/>
      <c r="P1" s="353"/>
      <c r="Q1" s="353"/>
      <c r="R1" s="353"/>
      <c r="S1" s="353"/>
      <c r="T1" s="354"/>
      <c r="X1" s="13"/>
    </row>
    <row r="2" spans="2:24" ht="25" customHeight="1">
      <c r="B2" s="355"/>
      <c r="C2" s="382" t="s">
        <v>1226</v>
      </c>
      <c r="D2" s="383"/>
      <c r="E2" s="383"/>
      <c r="F2" s="356"/>
      <c r="G2" s="356"/>
      <c r="H2" s="356"/>
      <c r="I2" s="356"/>
      <c r="J2" s="356"/>
      <c r="K2" s="356"/>
      <c r="L2" s="356"/>
      <c r="M2" s="356"/>
      <c r="N2" s="357"/>
      <c r="O2" s="357"/>
      <c r="P2" s="357"/>
      <c r="Q2" s="357"/>
      <c r="R2" s="357"/>
      <c r="S2" s="357"/>
      <c r="T2" s="358"/>
    </row>
    <row r="3" spans="2:24" ht="25" customHeight="1">
      <c r="B3" s="355"/>
      <c r="C3" s="383"/>
      <c r="D3" s="383"/>
      <c r="E3" s="383"/>
      <c r="F3" s="356"/>
      <c r="G3" s="356"/>
      <c r="H3" s="356"/>
      <c r="I3" s="356"/>
      <c r="J3" s="356"/>
      <c r="K3" s="356"/>
      <c r="L3" s="356"/>
      <c r="M3" s="356"/>
      <c r="N3" s="357"/>
      <c r="O3" s="357"/>
      <c r="P3" s="357"/>
      <c r="Q3" s="357"/>
      <c r="R3" s="357"/>
      <c r="S3" s="357"/>
      <c r="T3" s="358"/>
    </row>
    <row r="4" spans="2:24" ht="18.5">
      <c r="B4" s="355"/>
      <c r="C4" s="382" t="s">
        <v>50</v>
      </c>
      <c r="D4" s="389" t="s">
        <v>856</v>
      </c>
      <c r="E4" s="383"/>
      <c r="F4" s="356"/>
      <c r="G4" s="356"/>
      <c r="H4" s="356"/>
      <c r="I4" s="356"/>
      <c r="J4" s="356"/>
      <c r="K4" s="356"/>
      <c r="L4" s="356"/>
      <c r="M4" s="356"/>
      <c r="N4" s="357"/>
      <c r="O4" s="357"/>
      <c r="P4" s="357"/>
      <c r="Q4" s="357"/>
      <c r="R4" s="357"/>
      <c r="S4" s="357"/>
      <c r="T4" s="358"/>
    </row>
    <row r="5" spans="2:24" ht="18.5">
      <c r="B5" s="355"/>
      <c r="C5" s="382" t="s">
        <v>51</v>
      </c>
      <c r="D5" s="384" t="str">
        <f>VLOOKUP($D$4,Lookup!A:C,3,FALSE)</f>
        <v>-</v>
      </c>
      <c r="E5" s="383"/>
      <c r="F5" s="356"/>
      <c r="G5" s="356"/>
      <c r="H5" s="356"/>
      <c r="I5" s="356"/>
      <c r="J5" s="356"/>
      <c r="K5" s="356"/>
      <c r="L5" s="356"/>
      <c r="M5" s="356"/>
      <c r="N5" s="357"/>
      <c r="O5" s="357"/>
      <c r="P5" s="357"/>
      <c r="Q5" s="357"/>
      <c r="R5" s="357"/>
      <c r="S5" s="357"/>
      <c r="T5" s="358"/>
    </row>
    <row r="6" spans="2:24" ht="18.5">
      <c r="B6" s="355"/>
      <c r="C6" s="382" t="s">
        <v>52</v>
      </c>
      <c r="D6" s="384" t="str">
        <f>VLOOKUP($D$4,Lookup!A:F,6,FALSE)</f>
        <v>-</v>
      </c>
      <c r="E6" s="383"/>
      <c r="F6" s="356"/>
      <c r="G6" s="356"/>
      <c r="H6" s="356"/>
      <c r="I6" s="356"/>
      <c r="J6" s="356"/>
      <c r="K6" s="356"/>
      <c r="L6" s="356"/>
      <c r="M6" s="356"/>
      <c r="N6" s="357"/>
      <c r="O6" s="357"/>
      <c r="P6" s="357"/>
      <c r="Q6" s="357"/>
      <c r="R6" s="357"/>
      <c r="S6" s="357"/>
      <c r="T6" s="358"/>
    </row>
    <row r="7" spans="2:24" ht="15" thickBot="1">
      <c r="B7" s="359"/>
      <c r="C7" s="360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2"/>
    </row>
    <row r="8" spans="2:24">
      <c r="C8" s="1"/>
      <c r="D8" s="13"/>
    </row>
    <row r="9" spans="2:24" ht="19" thickBot="1">
      <c r="C9" s="14"/>
      <c r="D9" s="13"/>
      <c r="G9" s="63"/>
      <c r="I9" s="63"/>
      <c r="S9" s="30"/>
    </row>
    <row r="10" spans="2:24">
      <c r="B10" s="15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/>
      <c r="T10" s="19"/>
    </row>
    <row r="11" spans="2:24" ht="18.5">
      <c r="B11" s="20"/>
      <c r="C11" s="14" t="s">
        <v>195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T11" s="21"/>
    </row>
    <row r="12" spans="2:24">
      <c r="B12" s="20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T12" s="21"/>
    </row>
    <row r="13" spans="2:24" ht="31">
      <c r="B13" s="20"/>
      <c r="C13" s="22" t="s">
        <v>53</v>
      </c>
      <c r="D13" s="83" t="s">
        <v>218</v>
      </c>
      <c r="E13" s="83" t="s">
        <v>1178</v>
      </c>
      <c r="F13" s="83" t="s">
        <v>204</v>
      </c>
      <c r="G13" s="83" t="s">
        <v>1176</v>
      </c>
      <c r="H13" s="83" t="s">
        <v>1175</v>
      </c>
      <c r="I13" s="83" t="s">
        <v>1174</v>
      </c>
      <c r="J13" s="83" t="s">
        <v>203</v>
      </c>
      <c r="K13" s="83" t="s">
        <v>202</v>
      </c>
      <c r="L13" s="83" t="s">
        <v>200</v>
      </c>
      <c r="M13" s="83" t="s">
        <v>201</v>
      </c>
      <c r="N13" s="83" t="s">
        <v>199</v>
      </c>
      <c r="O13" s="83" t="s">
        <v>198</v>
      </c>
      <c r="P13" s="83" t="s">
        <v>1177</v>
      </c>
      <c r="Q13" s="83" t="s">
        <v>94</v>
      </c>
      <c r="R13" s="181"/>
      <c r="S13" s="71"/>
      <c r="T13" s="97"/>
      <c r="U13" s="71"/>
      <c r="V13" s="160"/>
      <c r="W13" s="161"/>
    </row>
    <row r="14" spans="2:24" ht="18" customHeight="1">
      <c r="B14" s="20"/>
      <c r="C14" s="24" t="s">
        <v>194</v>
      </c>
      <c r="D14" s="85">
        <f>_xlfn.IFNA(VLOOKUP($D$4,'Summary Oct 2024'!$A$8:$AZ$222,8,FALSE),0)</f>
        <v>0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>
        <f>SUM(D14:P14)</f>
        <v>0</v>
      </c>
      <c r="R14" s="182"/>
      <c r="S14" s="153"/>
      <c r="T14" s="152"/>
      <c r="U14" s="71"/>
      <c r="V14" s="71"/>
      <c r="W14" s="161"/>
    </row>
    <row r="15" spans="2:24" ht="18" customHeight="1">
      <c r="B15" s="20"/>
      <c r="C15" s="24" t="s">
        <v>205</v>
      </c>
      <c r="D15" s="85">
        <f>_xlfn.IFNA(VLOOKUP($D$4,'Summary Oct 2024'!$A$8:$AZ$222,10,FALSE),0)</f>
        <v>0</v>
      </c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>
        <f>SUM(D15:P15)</f>
        <v>0</v>
      </c>
      <c r="R15" s="182"/>
      <c r="S15" s="153"/>
      <c r="T15" s="152"/>
      <c r="U15" s="71"/>
      <c r="V15" s="71"/>
      <c r="W15" s="161"/>
    </row>
    <row r="16" spans="2:24" ht="18" customHeight="1">
      <c r="B16" s="20"/>
      <c r="C16" s="24" t="s">
        <v>222</v>
      </c>
      <c r="D16" s="85">
        <f>_xlfn.IFNA(VLOOKUP($D$4,'Summary Oct 2024'!$A$8:$AZ$222,9,FALSE),0)</f>
        <v>0</v>
      </c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>
        <f>SUM(D16:P16)</f>
        <v>0</v>
      </c>
      <c r="R16" s="182"/>
      <c r="S16" s="153"/>
      <c r="T16" s="152"/>
      <c r="U16" s="71"/>
      <c r="V16" s="71"/>
      <c r="W16" s="161"/>
    </row>
    <row r="17" spans="2:26" ht="18" customHeight="1">
      <c r="B17" s="20"/>
      <c r="C17" s="80" t="s">
        <v>223</v>
      </c>
      <c r="D17" s="86">
        <f>SUM(D14:D16)</f>
        <v>0</v>
      </c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>
        <f>SUM(D17:P17)</f>
        <v>0</v>
      </c>
      <c r="R17" s="182"/>
      <c r="S17" s="153"/>
      <c r="T17" s="152"/>
      <c r="U17" s="71"/>
      <c r="V17" s="71"/>
      <c r="W17" s="161"/>
    </row>
    <row r="18" spans="2:26" ht="18" customHeight="1">
      <c r="B18" s="20"/>
      <c r="C18" s="24" t="s">
        <v>193</v>
      </c>
      <c r="D18" s="85">
        <f>_xlfn.IFNA(VLOOKUP($D$4,HN!A:P,8,FALSE),0)</f>
        <v>0</v>
      </c>
      <c r="E18" s="141"/>
      <c r="F18" s="141"/>
      <c r="G18" s="141"/>
      <c r="H18" s="141">
        <f>-(_xlfn.IFNA(VLOOKUP($D$4,HN!A:P,8,FALSE),0)-_xlfn.IFNA(VLOOKUP($D$4,HN!A:P,13,FALSE),0))</f>
        <v>0</v>
      </c>
      <c r="I18" s="141"/>
      <c r="J18" s="141"/>
      <c r="K18" s="141"/>
      <c r="L18" s="141"/>
      <c r="M18" s="141"/>
      <c r="N18" s="141"/>
      <c r="O18" s="141"/>
      <c r="P18" s="141"/>
      <c r="Q18" s="141">
        <f t="shared" ref="Q18:Q28" si="0">SUM(D18:P18)</f>
        <v>0</v>
      </c>
      <c r="R18" s="182"/>
      <c r="S18" s="153"/>
      <c r="T18" s="152"/>
      <c r="U18" s="71"/>
      <c r="V18" s="71"/>
      <c r="W18" s="161"/>
    </row>
    <row r="19" spans="2:26" ht="18" customHeight="1">
      <c r="B19" s="20"/>
      <c r="C19" s="24" t="s">
        <v>1156</v>
      </c>
      <c r="D19" s="85">
        <f>_xlfn.IFNA(VLOOKUP($D$4,HN!A:P,9,FALSE),0)</f>
        <v>0</v>
      </c>
      <c r="E19" s="141"/>
      <c r="F19" s="122"/>
      <c r="G19" s="141"/>
      <c r="H19" s="141">
        <f>-(_xlfn.IFNA(VLOOKUP($D$4,HN!A:P,9,FALSE),0)-_xlfn.IFNA(VLOOKUP($D$4,HN!A:P,14,FALSE),0))</f>
        <v>0</v>
      </c>
      <c r="I19" s="141"/>
      <c r="J19" s="123"/>
      <c r="K19" s="123"/>
      <c r="L19" s="123"/>
      <c r="M19" s="123"/>
      <c r="N19" s="123"/>
      <c r="O19" s="123"/>
      <c r="P19" s="123"/>
      <c r="Q19" s="141">
        <f t="shared" si="0"/>
        <v>0</v>
      </c>
      <c r="R19" s="182"/>
      <c r="S19" s="153"/>
      <c r="T19" s="152"/>
      <c r="U19" s="71"/>
      <c r="V19" s="71"/>
      <c r="W19" s="161"/>
    </row>
    <row r="20" spans="2:26" ht="18" customHeight="1">
      <c r="B20" s="20"/>
      <c r="C20" s="24" t="s">
        <v>1157</v>
      </c>
      <c r="D20" s="85">
        <f>_xlfn.IFNA(VLOOKUP($D$4,HN!A:P,10,FALSE),0)</f>
        <v>0</v>
      </c>
      <c r="E20" s="141"/>
      <c r="F20" s="122"/>
      <c r="G20" s="141"/>
      <c r="H20" s="141">
        <f>-(_xlfn.IFNA(VLOOKUP($D$4,HN!A:P,10,FALSE),0)-_xlfn.IFNA(VLOOKUP($D$4,HN!A:P,15,FALSE),0))</f>
        <v>0</v>
      </c>
      <c r="I20" s="141"/>
      <c r="J20" s="123"/>
      <c r="K20" s="123"/>
      <c r="L20" s="123"/>
      <c r="M20" s="123"/>
      <c r="N20" s="123"/>
      <c r="O20" s="123"/>
      <c r="P20" s="123"/>
      <c r="Q20" s="141">
        <f t="shared" si="0"/>
        <v>0</v>
      </c>
      <c r="R20" s="182"/>
      <c r="S20" s="153"/>
      <c r="T20" s="152"/>
      <c r="U20" s="71"/>
      <c r="V20" s="71"/>
      <c r="W20" s="161"/>
    </row>
    <row r="21" spans="2:26" ht="18" customHeight="1">
      <c r="B21" s="20"/>
      <c r="C21" s="24" t="s">
        <v>1222</v>
      </c>
      <c r="D21" s="85">
        <f>_xlfn.IFNA(VLOOKUP($D$4,HN!A:T,20,FALSE),0)</f>
        <v>0</v>
      </c>
      <c r="E21" s="122"/>
      <c r="F21" s="141"/>
      <c r="G21" s="141"/>
      <c r="H21" s="123">
        <f>_xlfn.IFNA(VLOOKUP($D$4,Adjustments!A:N,14,FALSE),0)</f>
        <v>0</v>
      </c>
      <c r="I21" s="141"/>
      <c r="J21" s="123"/>
      <c r="K21" s="123"/>
      <c r="L21" s="123"/>
      <c r="M21" s="123"/>
      <c r="N21" s="123"/>
      <c r="O21" s="123"/>
      <c r="P21" s="123"/>
      <c r="Q21" s="141">
        <f t="shared" si="0"/>
        <v>0</v>
      </c>
      <c r="R21" s="182"/>
      <c r="S21" s="153"/>
      <c r="T21" s="152"/>
      <c r="U21" s="71"/>
      <c r="V21" s="71"/>
      <c r="W21" s="161"/>
    </row>
    <row r="22" spans="2:26" ht="18" customHeight="1">
      <c r="B22" s="20"/>
      <c r="C22" s="24" t="s">
        <v>187</v>
      </c>
      <c r="D22" s="85">
        <f>_xlfn.IFNA(VLOOKUP($D$4,EY!$A:$X,18,FALSE),0)</f>
        <v>0</v>
      </c>
      <c r="E22" s="141"/>
      <c r="F22" s="141"/>
      <c r="G22" s="141"/>
      <c r="H22" s="141">
        <f>_xlfn.IFNA(VLOOKUP($D$4,EY!$A:$X,9,FALSE),0)-_xlfn.IFNA(VLOOKUP($D$4,EY!$A:$X,18,FALSE),0)</f>
        <v>0</v>
      </c>
      <c r="I22" s="141"/>
      <c r="J22" s="123"/>
      <c r="K22" s="123"/>
      <c r="L22" s="123"/>
      <c r="M22" s="123"/>
      <c r="N22" s="123"/>
      <c r="O22" s="123"/>
      <c r="P22" s="123"/>
      <c r="Q22" s="141">
        <f t="shared" si="0"/>
        <v>0</v>
      </c>
      <c r="R22" s="182"/>
      <c r="S22" s="153"/>
      <c r="T22" s="152"/>
      <c r="U22" s="71"/>
      <c r="V22" s="71"/>
      <c r="W22" s="161"/>
    </row>
    <row r="23" spans="2:26" ht="18" customHeight="1">
      <c r="B23" s="20"/>
      <c r="C23" s="24" t="s">
        <v>1144</v>
      </c>
      <c r="D23" s="85">
        <f>_xlfn.IFNA(VLOOKUP($D$4,EY!$A:$X,17,FALSE),0)</f>
        <v>0</v>
      </c>
      <c r="E23" s="141"/>
      <c r="F23" s="174"/>
      <c r="G23" s="141"/>
      <c r="H23" s="141">
        <f>_xlfn.IFNA(VLOOKUP($D$4,EY!$A:$X,8,FALSE),0)-_xlfn.IFNA(VLOOKUP($D$4,EY!$A:$X,17,FALSE),0)</f>
        <v>0</v>
      </c>
      <c r="I23" s="141"/>
      <c r="J23" s="123"/>
      <c r="K23" s="123"/>
      <c r="L23" s="123"/>
      <c r="M23" s="123"/>
      <c r="N23" s="123"/>
      <c r="O23" s="123"/>
      <c r="P23" s="123"/>
      <c r="Q23" s="141">
        <f t="shared" si="0"/>
        <v>0</v>
      </c>
      <c r="R23" s="182"/>
      <c r="S23" s="153"/>
      <c r="T23" s="152"/>
      <c r="U23" s="71"/>
      <c r="V23" s="71"/>
      <c r="W23" s="161"/>
    </row>
    <row r="24" spans="2:26" ht="18" customHeight="1">
      <c r="B24" s="20"/>
      <c r="C24" s="24" t="s">
        <v>188</v>
      </c>
      <c r="D24" s="85">
        <f>_xlfn.IFNA(VLOOKUP($D$4,EY!$A:$X,19,FALSE),0)</f>
        <v>0</v>
      </c>
      <c r="E24" s="141"/>
      <c r="F24" s="102"/>
      <c r="G24" s="141"/>
      <c r="H24" s="141">
        <f>_xlfn.IFNA(VLOOKUP($D$4,EY!$A:$X,10,FALSE),0)-_xlfn.IFNA(VLOOKUP($D$4,EY!$A:$X,19,FALSE),0)</f>
        <v>0</v>
      </c>
      <c r="I24" s="141"/>
      <c r="J24" s="123"/>
      <c r="K24" s="123"/>
      <c r="L24" s="123"/>
      <c r="M24" s="123"/>
      <c r="N24" s="123"/>
      <c r="O24" s="123"/>
      <c r="P24" s="123"/>
      <c r="Q24" s="141">
        <f t="shared" si="0"/>
        <v>0</v>
      </c>
      <c r="R24" s="182"/>
      <c r="S24" s="153"/>
      <c r="T24" s="152"/>
      <c r="U24" s="71"/>
      <c r="V24" s="71"/>
      <c r="W24" s="161"/>
    </row>
    <row r="25" spans="2:26" ht="18" customHeight="1">
      <c r="B25" s="20"/>
      <c r="C25" s="24" t="s">
        <v>1145</v>
      </c>
      <c r="D25" s="85">
        <f>_xlfn.IFNA(VLOOKUP($D$4,EY!$A:$X,20,FALSE),0)</f>
        <v>0</v>
      </c>
      <c r="E25" s="141"/>
      <c r="F25" s="141"/>
      <c r="G25" s="141"/>
      <c r="H25" s="141">
        <f>_xlfn.IFNA(VLOOKUP($D$4,EY!$A:$X,11,FALSE),0)-_xlfn.IFNA(VLOOKUP($D$4,EY!$A:$X,20,FALSE),0)</f>
        <v>0</v>
      </c>
      <c r="I25" s="141"/>
      <c r="J25" s="123"/>
      <c r="K25" s="123"/>
      <c r="L25" s="123"/>
      <c r="M25" s="123"/>
      <c r="N25" s="123"/>
      <c r="O25" s="123"/>
      <c r="P25" s="123"/>
      <c r="Q25" s="141">
        <f t="shared" si="0"/>
        <v>0</v>
      </c>
      <c r="R25" s="182"/>
      <c r="S25" s="153"/>
      <c r="T25" s="152"/>
      <c r="U25" s="71"/>
      <c r="V25" s="71"/>
      <c r="W25" s="161"/>
    </row>
    <row r="26" spans="2:26" ht="18" customHeight="1">
      <c r="B26" s="20"/>
      <c r="C26" s="24" t="s">
        <v>189</v>
      </c>
      <c r="D26" s="85">
        <f>_xlfn.IFNA(VLOOKUP($D$4,EY!$A:$X,21,FALSE),0)</f>
        <v>0</v>
      </c>
      <c r="E26" s="141"/>
      <c r="F26" s="141"/>
      <c r="G26" s="141"/>
      <c r="H26" s="141">
        <f>_xlfn.IFNA(VLOOKUP($D$4,EY!$A:$X,12,FALSE),0)-_xlfn.IFNA(VLOOKUP($D$4,EY!$A:$X,21,FALSE),0)</f>
        <v>0</v>
      </c>
      <c r="I26" s="141"/>
      <c r="J26" s="123"/>
      <c r="K26" s="123"/>
      <c r="L26" s="123"/>
      <c r="M26" s="123"/>
      <c r="N26" s="123"/>
      <c r="O26" s="123"/>
      <c r="P26" s="123"/>
      <c r="Q26" s="141">
        <f t="shared" si="0"/>
        <v>0</v>
      </c>
      <c r="R26" s="182"/>
      <c r="S26" s="153"/>
      <c r="T26" s="152"/>
      <c r="U26" s="71"/>
      <c r="V26" s="71"/>
      <c r="W26" s="161"/>
    </row>
    <row r="27" spans="2:26" ht="18" customHeight="1">
      <c r="B27" s="20"/>
      <c r="C27" s="24" t="s">
        <v>1146</v>
      </c>
      <c r="D27" s="85">
        <f>_xlfn.IFNA(VLOOKUP($D$4,EY!$A:$X,22,FALSE),0)</f>
        <v>0</v>
      </c>
      <c r="E27" s="141"/>
      <c r="F27" s="141"/>
      <c r="G27" s="141"/>
      <c r="H27" s="141">
        <f>_xlfn.IFNA(VLOOKUP($D$4,EY!$A:$X,13,FALSE),0)-_xlfn.IFNA(VLOOKUP($D$4,EY!$A:$X,22,FALSE),0)</f>
        <v>0</v>
      </c>
      <c r="I27" s="141"/>
      <c r="J27" s="123"/>
      <c r="K27" s="123"/>
      <c r="L27" s="123"/>
      <c r="M27" s="123"/>
      <c r="N27" s="123"/>
      <c r="O27" s="123"/>
      <c r="P27" s="123"/>
      <c r="Q27" s="141">
        <f t="shared" si="0"/>
        <v>0</v>
      </c>
      <c r="R27" s="182"/>
      <c r="S27" s="153"/>
      <c r="T27" s="152"/>
      <c r="U27" s="71"/>
      <c r="V27" s="71"/>
      <c r="W27" s="161"/>
    </row>
    <row r="28" spans="2:26" s="11" customFormat="1" ht="18" customHeight="1">
      <c r="B28" s="33"/>
      <c r="C28" s="54" t="s">
        <v>219</v>
      </c>
      <c r="D28" s="85"/>
      <c r="E28" s="102"/>
      <c r="F28" s="102"/>
      <c r="G28" s="141"/>
      <c r="H28" s="141">
        <f>_xlfn.IFNA(VLOOKUP($D$4,EY!$A:$X,14,FALSE),0)</f>
        <v>0</v>
      </c>
      <c r="I28" s="102"/>
      <c r="J28" s="102"/>
      <c r="K28" s="102"/>
      <c r="L28" s="102"/>
      <c r="M28" s="102"/>
      <c r="N28" s="102"/>
      <c r="O28" s="102"/>
      <c r="P28" s="102"/>
      <c r="Q28" s="141">
        <f t="shared" si="0"/>
        <v>0</v>
      </c>
      <c r="R28" s="182"/>
      <c r="S28" s="153"/>
      <c r="T28" s="152"/>
      <c r="U28" s="71"/>
      <c r="V28" s="71"/>
      <c r="W28" s="165"/>
      <c r="X28" s="166"/>
      <c r="Y28" s="164"/>
      <c r="Z28" s="164"/>
    </row>
    <row r="29" spans="2:26" ht="18" customHeight="1">
      <c r="B29" s="20"/>
      <c r="C29" s="80" t="s">
        <v>54</v>
      </c>
      <c r="D29" s="86">
        <f>ROUND(SUM(D17:D28),2)</f>
        <v>0</v>
      </c>
      <c r="E29" s="124">
        <f t="shared" ref="E29:P29" si="1">SUM(E14:E28)</f>
        <v>0</v>
      </c>
      <c r="F29" s="128">
        <f t="shared" si="1"/>
        <v>0</v>
      </c>
      <c r="G29" s="142">
        <f t="shared" si="1"/>
        <v>0</v>
      </c>
      <c r="H29" s="142">
        <f t="shared" si="1"/>
        <v>0</v>
      </c>
      <c r="I29" s="142">
        <f t="shared" si="1"/>
        <v>0</v>
      </c>
      <c r="J29" s="142">
        <f t="shared" si="1"/>
        <v>0</v>
      </c>
      <c r="K29" s="142">
        <f t="shared" si="1"/>
        <v>0</v>
      </c>
      <c r="L29" s="142">
        <f t="shared" si="1"/>
        <v>0</v>
      </c>
      <c r="M29" s="142">
        <f t="shared" si="1"/>
        <v>0</v>
      </c>
      <c r="N29" s="142">
        <f t="shared" si="1"/>
        <v>0</v>
      </c>
      <c r="O29" s="142">
        <f t="shared" si="1"/>
        <v>0</v>
      </c>
      <c r="P29" s="142">
        <f t="shared" si="1"/>
        <v>0</v>
      </c>
      <c r="Q29" s="142">
        <f>SUM(Q17:Q28)</f>
        <v>0</v>
      </c>
      <c r="R29" s="182"/>
      <c r="S29" s="153"/>
      <c r="T29" s="152"/>
      <c r="U29" s="71"/>
      <c r="V29" s="71"/>
    </row>
    <row r="30" spans="2:26" ht="18" customHeight="1">
      <c r="B30" s="20"/>
      <c r="C30" s="24" t="s">
        <v>1101</v>
      </c>
      <c r="D30" s="85">
        <f>-_xlfn.IFNA(VLOOKUP($D$4,Adjustments!A:I,8,FALSE),0)</f>
        <v>0</v>
      </c>
      <c r="E30" s="141"/>
      <c r="F30" s="141"/>
      <c r="G30" s="141"/>
      <c r="H30" s="141">
        <f>-(_xlfn.IFNA(VLOOKUP($D$4,Adjustments!$A:$X,9,FALSE),0)-_xlfn.IFNA(VLOOKUP($D$4,Adjustments!$A:$X,8,FALSE),0))</f>
        <v>0</v>
      </c>
      <c r="I30" s="141"/>
      <c r="J30" s="123">
        <f>-_xlfn.IFNA(VLOOKUP($D$4,Adjustments!$A:$X,10,FALSE),0)</f>
        <v>0</v>
      </c>
      <c r="K30" s="123"/>
      <c r="L30" s="123"/>
      <c r="M30" s="123"/>
      <c r="N30" s="123"/>
      <c r="O30" s="123"/>
      <c r="P30" s="123"/>
      <c r="Q30" s="141">
        <f>SUM(D30:P30)</f>
        <v>0</v>
      </c>
      <c r="R30" s="182"/>
      <c r="S30" s="153"/>
      <c r="T30" s="152"/>
      <c r="U30" s="71"/>
      <c r="V30" s="71"/>
      <c r="W30" s="161"/>
      <c r="Y30" s="161"/>
    </row>
    <row r="31" spans="2:26" ht="18" customHeight="1">
      <c r="B31" s="20"/>
      <c r="C31" s="25" t="s">
        <v>1102</v>
      </c>
      <c r="D31" s="87">
        <f>_xlfn.IFNA(VLOOKUP($D$4,'Summary Oct 2024'!$A$8:$AZ$222,18,FALSE),0)</f>
        <v>0</v>
      </c>
      <c r="E31" s="143"/>
      <c r="F31" s="143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>
        <f>SUM(D31:P31)</f>
        <v>0</v>
      </c>
      <c r="R31" s="182"/>
      <c r="S31" s="153"/>
      <c r="T31" s="152"/>
      <c r="U31" s="71"/>
      <c r="V31" s="71"/>
    </row>
    <row r="32" spans="2:26" ht="18" customHeight="1">
      <c r="B32" s="20"/>
      <c r="C32" s="25" t="s">
        <v>1150</v>
      </c>
      <c r="D32" s="87">
        <f>_xlfn.IFNA(VLOOKUP($D$4,'Summary Oct 2024'!$A$8:$AZ$222,17,FALSE),0)</f>
        <v>0</v>
      </c>
      <c r="E32" s="143"/>
      <c r="F32" s="143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>
        <f>SUM(D32:P32)</f>
        <v>0</v>
      </c>
      <c r="R32" s="182"/>
      <c r="S32" s="153"/>
      <c r="T32" s="152"/>
      <c r="U32" s="71"/>
      <c r="V32" s="71"/>
    </row>
    <row r="33" spans="2:32" ht="18" customHeight="1">
      <c r="B33" s="20"/>
      <c r="C33" s="25" t="s">
        <v>1172</v>
      </c>
      <c r="D33" s="85">
        <f>_xlfn.IFNA(VLOOKUP($D$4,'Post 16'!A:AC,13,FALSE),0)</f>
        <v>0</v>
      </c>
      <c r="E33" s="141"/>
      <c r="F33" s="141"/>
      <c r="G33" s="141"/>
      <c r="H33" s="141"/>
      <c r="I33" s="141"/>
      <c r="J33" s="141">
        <f>_xlfn.IFNA(VLOOKUP($D$4,'Post 16'!A:AI,17,FALSE),0)</f>
        <v>0</v>
      </c>
      <c r="K33" s="141"/>
      <c r="L33" s="141"/>
      <c r="M33" s="141"/>
      <c r="N33" s="141"/>
      <c r="O33" s="141"/>
      <c r="P33" s="141"/>
      <c r="Q33" s="141">
        <f>SUM(D33:P33)</f>
        <v>0</v>
      </c>
      <c r="R33" s="182"/>
      <c r="S33" s="178"/>
      <c r="T33" s="152"/>
      <c r="U33" s="71"/>
    </row>
    <row r="34" spans="2:32" ht="18" customHeight="1">
      <c r="B34" s="20"/>
      <c r="C34" s="25" t="s">
        <v>1173</v>
      </c>
      <c r="D34" s="85">
        <f>_xlfn.IFNA(VLOOKUP($D$4,'Post 16'!A:AC,28,FALSE),0)</f>
        <v>0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>
        <f>SUM(D34:P34)</f>
        <v>0</v>
      </c>
      <c r="R34" s="182"/>
      <c r="S34" s="178"/>
      <c r="T34" s="152"/>
      <c r="U34" s="71"/>
    </row>
    <row r="35" spans="2:32" ht="18" customHeight="1">
      <c r="B35" s="20"/>
      <c r="C35" s="79" t="s">
        <v>55</v>
      </c>
      <c r="D35" s="89">
        <f>ROUND(SUM(D29:D34),2)</f>
        <v>0</v>
      </c>
      <c r="E35" s="89">
        <f t="shared" ref="E35:P35" si="2">SUM(E29:E33)</f>
        <v>0</v>
      </c>
      <c r="F35" s="89">
        <f t="shared" si="2"/>
        <v>0</v>
      </c>
      <c r="G35" s="89">
        <f t="shared" si="2"/>
        <v>0</v>
      </c>
      <c r="H35" s="89">
        <f t="shared" si="2"/>
        <v>0</v>
      </c>
      <c r="I35" s="89">
        <f t="shared" si="2"/>
        <v>0</v>
      </c>
      <c r="J35" s="89">
        <f t="shared" si="2"/>
        <v>0</v>
      </c>
      <c r="K35" s="89">
        <f t="shared" si="2"/>
        <v>0</v>
      </c>
      <c r="L35" s="89">
        <f t="shared" si="2"/>
        <v>0</v>
      </c>
      <c r="M35" s="89">
        <f t="shared" si="2"/>
        <v>0</v>
      </c>
      <c r="N35" s="89">
        <f t="shared" si="2"/>
        <v>0</v>
      </c>
      <c r="O35" s="89">
        <f t="shared" si="2"/>
        <v>0</v>
      </c>
      <c r="P35" s="89">
        <f t="shared" si="2"/>
        <v>0</v>
      </c>
      <c r="Q35" s="145">
        <f>SUM(Q29:Q34)</f>
        <v>0</v>
      </c>
      <c r="R35" s="182"/>
      <c r="S35" s="179"/>
      <c r="T35" s="152"/>
      <c r="U35" s="71"/>
      <c r="V35" s="71"/>
      <c r="Y35" s="162"/>
    </row>
    <row r="36" spans="2:32" ht="18" customHeight="1">
      <c r="B36" s="20"/>
      <c r="C36" s="363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5"/>
      <c r="R36" s="151"/>
      <c r="S36" s="179"/>
      <c r="T36" s="152"/>
      <c r="U36" s="71"/>
      <c r="V36" s="71"/>
      <c r="Y36" s="162"/>
    </row>
    <row r="37" spans="2:32" ht="18" customHeight="1">
      <c r="B37" s="20"/>
      <c r="C37" s="27" t="s">
        <v>1202</v>
      </c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5"/>
      <c r="R37" s="151"/>
      <c r="S37" s="179"/>
      <c r="T37" s="152"/>
      <c r="U37" s="71"/>
      <c r="V37" s="71"/>
      <c r="Y37" s="162"/>
    </row>
    <row r="38" spans="2:32" ht="18" customHeight="1">
      <c r="B38" s="20"/>
      <c r="C38" s="27" t="s">
        <v>1203</v>
      </c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65"/>
      <c r="R38" s="151"/>
      <c r="S38" s="179"/>
      <c r="T38" s="152"/>
      <c r="U38" s="71"/>
      <c r="V38" s="71"/>
      <c r="Y38" s="162"/>
    </row>
    <row r="39" spans="2:32" ht="18" customHeight="1">
      <c r="B39" s="20"/>
      <c r="C39" s="27" t="s">
        <v>1216</v>
      </c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365"/>
      <c r="R39" s="151"/>
      <c r="S39" s="179"/>
      <c r="T39" s="152"/>
      <c r="U39" s="71"/>
      <c r="V39" s="71"/>
      <c r="Y39" s="162"/>
    </row>
    <row r="40" spans="2:32" ht="18" customHeight="1">
      <c r="B40" s="20"/>
      <c r="C40" s="27" t="s">
        <v>1218</v>
      </c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5"/>
      <c r="R40" s="151"/>
      <c r="S40" s="179"/>
      <c r="T40" s="152"/>
      <c r="U40" s="71"/>
      <c r="V40" s="71"/>
      <c r="Y40" s="162"/>
    </row>
    <row r="41" spans="2:32" ht="18" customHeight="1">
      <c r="B41" s="20"/>
      <c r="C41" s="27" t="s">
        <v>1217</v>
      </c>
      <c r="D41" s="364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65"/>
      <c r="R41" s="151"/>
      <c r="S41" s="179"/>
      <c r="T41" s="152"/>
      <c r="U41" s="71"/>
      <c r="V41" s="71"/>
      <c r="Y41" s="162"/>
    </row>
    <row r="42" spans="2:32" ht="17.149999999999999" customHeight="1" thickBot="1">
      <c r="B42" s="29"/>
      <c r="C42" s="388"/>
      <c r="D42" s="90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83"/>
      <c r="S42" s="180"/>
      <c r="T42" s="177"/>
      <c r="U42" s="82"/>
      <c r="V42" s="82"/>
      <c r="W42" s="26"/>
      <c r="X42" s="26"/>
      <c r="Z42" s="162"/>
      <c r="AB42" s="26"/>
      <c r="AC42" s="26"/>
      <c r="AD42" s="26"/>
      <c r="AE42" s="26"/>
      <c r="AF42" s="26"/>
    </row>
    <row r="43" spans="2:32" ht="17.149999999999999" customHeight="1">
      <c r="C43" s="27"/>
      <c r="D43" s="91"/>
      <c r="E43" s="147"/>
      <c r="F43" s="147"/>
      <c r="G43" s="147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88"/>
      <c r="T43" s="71"/>
      <c r="U43" s="71"/>
      <c r="V43" s="71"/>
      <c r="Y43" s="161"/>
    </row>
    <row r="44" spans="2:32" ht="18.75" customHeight="1" thickBot="1">
      <c r="C44" s="14"/>
      <c r="D44" s="92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84"/>
      <c r="T44" s="71"/>
      <c r="U44" s="71"/>
      <c r="V44" s="71"/>
      <c r="Y44" s="161"/>
    </row>
    <row r="45" spans="2:32" ht="30" customHeight="1">
      <c r="B45" s="15"/>
      <c r="C45" s="32"/>
      <c r="D45" s="93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94"/>
      <c r="T45" s="95"/>
      <c r="U45" s="71"/>
      <c r="V45" s="71"/>
      <c r="W45" s="163"/>
      <c r="X45" s="163"/>
      <c r="Y45" s="161"/>
      <c r="Z45" s="163"/>
    </row>
    <row r="46" spans="2:32" ht="18.5">
      <c r="B46" s="20"/>
      <c r="C46" s="14" t="s">
        <v>57</v>
      </c>
      <c r="D46" s="150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96"/>
      <c r="T46" s="97"/>
      <c r="U46" s="71"/>
      <c r="V46" s="71"/>
      <c r="W46" s="163"/>
      <c r="X46" s="163"/>
      <c r="Y46" s="161"/>
      <c r="Z46" s="163"/>
    </row>
    <row r="47" spans="2:32" s="11" customFormat="1" ht="32.25" customHeight="1">
      <c r="B47" s="33"/>
      <c r="C47" s="28"/>
      <c r="D47" s="407" t="s">
        <v>58</v>
      </c>
      <c r="E47" s="185">
        <v>45383</v>
      </c>
      <c r="F47" s="185">
        <v>45413</v>
      </c>
      <c r="G47" s="185">
        <v>45444</v>
      </c>
      <c r="H47" s="185">
        <v>45474</v>
      </c>
      <c r="I47" s="185">
        <v>45505</v>
      </c>
      <c r="J47" s="185">
        <v>45536</v>
      </c>
      <c r="K47" s="185">
        <v>45566</v>
      </c>
      <c r="L47" s="185">
        <v>45597</v>
      </c>
      <c r="M47" s="185">
        <v>45627</v>
      </c>
      <c r="N47" s="185">
        <v>45658</v>
      </c>
      <c r="O47" s="185">
        <v>45689</v>
      </c>
      <c r="P47" s="185">
        <v>45717</v>
      </c>
      <c r="Q47" s="393" t="s">
        <v>114</v>
      </c>
      <c r="R47" s="98" t="s">
        <v>59</v>
      </c>
      <c r="S47" s="305" t="s">
        <v>48</v>
      </c>
      <c r="T47" s="99"/>
      <c r="U47" s="100"/>
      <c r="V47" s="100"/>
      <c r="W47" s="164"/>
      <c r="X47" s="164"/>
      <c r="Y47" s="164"/>
      <c r="Z47" s="164"/>
    </row>
    <row r="48" spans="2:32" s="11" customFormat="1" ht="18" customHeight="1">
      <c r="B48" s="33"/>
      <c r="C48" s="28"/>
      <c r="D48" s="408"/>
      <c r="E48" s="186" t="s">
        <v>68</v>
      </c>
      <c r="F48" s="187" t="s">
        <v>68</v>
      </c>
      <c r="G48" s="187" t="s">
        <v>68</v>
      </c>
      <c r="H48" s="187" t="s">
        <v>68</v>
      </c>
      <c r="I48" s="187" t="s">
        <v>68</v>
      </c>
      <c r="J48" s="187" t="s">
        <v>68</v>
      </c>
      <c r="K48" s="187" t="s">
        <v>68</v>
      </c>
      <c r="L48" s="187" t="s">
        <v>59</v>
      </c>
      <c r="M48" s="187" t="s">
        <v>59</v>
      </c>
      <c r="N48" s="187" t="s">
        <v>59</v>
      </c>
      <c r="O48" s="187" t="s">
        <v>59</v>
      </c>
      <c r="P48" s="187" t="s">
        <v>59</v>
      </c>
      <c r="Q48" s="394" t="s">
        <v>68</v>
      </c>
      <c r="R48" s="98" t="s">
        <v>60</v>
      </c>
      <c r="S48" s="305"/>
      <c r="T48" s="99"/>
      <c r="U48" s="100"/>
      <c r="V48" s="100"/>
      <c r="W48" s="164"/>
      <c r="X48" s="164"/>
      <c r="Y48" s="164"/>
      <c r="Z48" s="164"/>
    </row>
    <row r="49" spans="2:26" s="11" customFormat="1" ht="18" customHeight="1">
      <c r="B49" s="33"/>
      <c r="C49" s="24" t="s">
        <v>194</v>
      </c>
      <c r="D49" s="101" t="s">
        <v>61</v>
      </c>
      <c r="E49" s="102">
        <f>$D$14/12</f>
        <v>0</v>
      </c>
      <c r="F49" s="102">
        <f t="shared" ref="F49:P49" si="3">$D$14/12</f>
        <v>0</v>
      </c>
      <c r="G49" s="102">
        <f t="shared" si="3"/>
        <v>0</v>
      </c>
      <c r="H49" s="102">
        <f t="shared" si="3"/>
        <v>0</v>
      </c>
      <c r="I49" s="102">
        <f t="shared" si="3"/>
        <v>0</v>
      </c>
      <c r="J49" s="102">
        <f t="shared" si="3"/>
        <v>0</v>
      </c>
      <c r="K49" s="102">
        <f t="shared" si="3"/>
        <v>0</v>
      </c>
      <c r="L49" s="102">
        <f t="shared" si="3"/>
        <v>0</v>
      </c>
      <c r="M49" s="102">
        <f t="shared" si="3"/>
        <v>0</v>
      </c>
      <c r="N49" s="102">
        <f t="shared" si="3"/>
        <v>0</v>
      </c>
      <c r="O49" s="102">
        <f t="shared" si="3"/>
        <v>0</v>
      </c>
      <c r="P49" s="102">
        <f t="shared" si="3"/>
        <v>0</v>
      </c>
      <c r="Q49" s="395">
        <f t="shared" ref="Q49:Q51" si="4">SUMIF($E$48:$P$48,$Q$48,E49:P49)</f>
        <v>0</v>
      </c>
      <c r="R49" s="104"/>
      <c r="S49" s="306">
        <f>SUM(E49:P49)+R49</f>
        <v>0</v>
      </c>
      <c r="T49" s="105"/>
      <c r="U49" s="100"/>
      <c r="V49" s="100"/>
      <c r="W49" s="165"/>
      <c r="X49" s="166"/>
      <c r="Y49" s="164"/>
      <c r="Z49" s="164"/>
    </row>
    <row r="50" spans="2:26" s="11" customFormat="1" ht="18" customHeight="1">
      <c r="B50" s="33"/>
      <c r="C50" s="24" t="s">
        <v>75</v>
      </c>
      <c r="D50" s="366" t="s">
        <v>109</v>
      </c>
      <c r="E50" s="102">
        <f>$D$15/12</f>
        <v>0</v>
      </c>
      <c r="F50" s="102">
        <f t="shared" ref="F50:P50" si="5">$D$15/12</f>
        <v>0</v>
      </c>
      <c r="G50" s="102">
        <f t="shared" si="5"/>
        <v>0</v>
      </c>
      <c r="H50" s="102">
        <f t="shared" si="5"/>
        <v>0</v>
      </c>
      <c r="I50" s="102">
        <f t="shared" si="5"/>
        <v>0</v>
      </c>
      <c r="J50" s="102">
        <f t="shared" si="5"/>
        <v>0</v>
      </c>
      <c r="K50" s="102">
        <f t="shared" si="5"/>
        <v>0</v>
      </c>
      <c r="L50" s="102">
        <f t="shared" si="5"/>
        <v>0</v>
      </c>
      <c r="M50" s="102">
        <f t="shared" si="5"/>
        <v>0</v>
      </c>
      <c r="N50" s="102">
        <f t="shared" si="5"/>
        <v>0</v>
      </c>
      <c r="O50" s="102">
        <f t="shared" si="5"/>
        <v>0</v>
      </c>
      <c r="P50" s="102">
        <f t="shared" si="5"/>
        <v>0</v>
      </c>
      <c r="Q50" s="395">
        <f t="shared" si="4"/>
        <v>0</v>
      </c>
      <c r="R50" s="104"/>
      <c r="S50" s="306">
        <f t="shared" ref="S50" si="6">SUM(E50:P50)+R50</f>
        <v>0</v>
      </c>
      <c r="T50" s="113"/>
      <c r="U50" s="100"/>
      <c r="V50" s="100"/>
      <c r="W50" s="165"/>
      <c r="X50" s="166"/>
      <c r="Y50" s="164"/>
      <c r="Z50" s="164"/>
    </row>
    <row r="51" spans="2:26" s="11" customFormat="1" ht="18" customHeight="1">
      <c r="B51" s="33"/>
      <c r="C51" s="24" t="s">
        <v>222</v>
      </c>
      <c r="D51" s="366" t="s">
        <v>93</v>
      </c>
      <c r="E51" s="102">
        <f>$D$16/12</f>
        <v>0</v>
      </c>
      <c r="F51" s="102">
        <f t="shared" ref="F51:P51" si="7">$D$16/12</f>
        <v>0</v>
      </c>
      <c r="G51" s="102">
        <f t="shared" si="7"/>
        <v>0</v>
      </c>
      <c r="H51" s="102">
        <f t="shared" si="7"/>
        <v>0</v>
      </c>
      <c r="I51" s="102">
        <f t="shared" si="7"/>
        <v>0</v>
      </c>
      <c r="J51" s="102">
        <f t="shared" si="7"/>
        <v>0</v>
      </c>
      <c r="K51" s="102">
        <f t="shared" si="7"/>
        <v>0</v>
      </c>
      <c r="L51" s="102">
        <f t="shared" si="7"/>
        <v>0</v>
      </c>
      <c r="M51" s="102">
        <f t="shared" si="7"/>
        <v>0</v>
      </c>
      <c r="N51" s="102">
        <f t="shared" si="7"/>
        <v>0</v>
      </c>
      <c r="O51" s="102">
        <f t="shared" si="7"/>
        <v>0</v>
      </c>
      <c r="P51" s="102">
        <f t="shared" si="7"/>
        <v>0</v>
      </c>
      <c r="Q51" s="395">
        <f t="shared" si="4"/>
        <v>0</v>
      </c>
      <c r="R51" s="104"/>
      <c r="S51" s="306">
        <f>SUM(E51:P51)+R51</f>
        <v>0</v>
      </c>
      <c r="T51" s="113"/>
      <c r="U51" s="100"/>
      <c r="V51" s="100"/>
      <c r="W51" s="165"/>
      <c r="X51" s="166"/>
      <c r="Y51" s="164"/>
      <c r="Z51" s="164"/>
    </row>
    <row r="52" spans="2:26" ht="18" customHeight="1">
      <c r="B52" s="20"/>
      <c r="C52" s="80" t="s">
        <v>223</v>
      </c>
      <c r="D52" s="86">
        <f>SUM(D49:D49)</f>
        <v>0</v>
      </c>
      <c r="E52" s="142">
        <f>SUM(E49:E51)</f>
        <v>0</v>
      </c>
      <c r="F52" s="142">
        <f t="shared" ref="F52:P52" si="8">SUM(F49:F51)</f>
        <v>0</v>
      </c>
      <c r="G52" s="142">
        <f t="shared" si="8"/>
        <v>0</v>
      </c>
      <c r="H52" s="142">
        <f t="shared" si="8"/>
        <v>0</v>
      </c>
      <c r="I52" s="142">
        <f t="shared" si="8"/>
        <v>0</v>
      </c>
      <c r="J52" s="142">
        <f t="shared" si="8"/>
        <v>0</v>
      </c>
      <c r="K52" s="142">
        <f t="shared" si="8"/>
        <v>0</v>
      </c>
      <c r="L52" s="142">
        <f t="shared" si="8"/>
        <v>0</v>
      </c>
      <c r="M52" s="142">
        <f t="shared" si="8"/>
        <v>0</v>
      </c>
      <c r="N52" s="142">
        <f t="shared" si="8"/>
        <v>0</v>
      </c>
      <c r="O52" s="142">
        <f t="shared" si="8"/>
        <v>0</v>
      </c>
      <c r="P52" s="142">
        <f t="shared" si="8"/>
        <v>0</v>
      </c>
      <c r="Q52" s="395">
        <f t="shared" ref="Q52:Q68" si="9">SUMIF($E$48:$P$48,$Q$48,E52:P52)</f>
        <v>0</v>
      </c>
      <c r="R52" s="188"/>
      <c r="S52" s="307">
        <f>SUM(S49:S51)</f>
        <v>0</v>
      </c>
      <c r="T52" s="152"/>
      <c r="U52" s="71"/>
      <c r="V52" s="71"/>
      <c r="W52" s="161"/>
    </row>
    <row r="53" spans="2:26" s="11" customFormat="1" ht="18" customHeight="1">
      <c r="B53" s="33"/>
      <c r="C53" s="24" t="s">
        <v>193</v>
      </c>
      <c r="D53" s="101" t="s">
        <v>61</v>
      </c>
      <c r="E53" s="102">
        <f>$D$18/12</f>
        <v>0</v>
      </c>
      <c r="F53" s="102">
        <f t="shared" ref="F53:G53" si="10">$D$18/12</f>
        <v>0</v>
      </c>
      <c r="G53" s="102">
        <f t="shared" si="10"/>
        <v>0</v>
      </c>
      <c r="H53" s="102">
        <f t="shared" ref="H53:P53" si="11">(($D$18+$H$18)-SUM($E$53:$G$53))/9</f>
        <v>0</v>
      </c>
      <c r="I53" s="102">
        <f t="shared" si="11"/>
        <v>0</v>
      </c>
      <c r="J53" s="102">
        <f t="shared" si="11"/>
        <v>0</v>
      </c>
      <c r="K53" s="102">
        <f t="shared" si="11"/>
        <v>0</v>
      </c>
      <c r="L53" s="102">
        <f t="shared" si="11"/>
        <v>0</v>
      </c>
      <c r="M53" s="102">
        <f t="shared" si="11"/>
        <v>0</v>
      </c>
      <c r="N53" s="102">
        <f t="shared" si="11"/>
        <v>0</v>
      </c>
      <c r="O53" s="102">
        <f t="shared" si="11"/>
        <v>0</v>
      </c>
      <c r="P53" s="102">
        <f t="shared" si="11"/>
        <v>0</v>
      </c>
      <c r="Q53" s="392">
        <f>SUMIF($E$48:$P$48,$Q$48,E53:P53)</f>
        <v>0</v>
      </c>
      <c r="R53" s="104"/>
      <c r="S53" s="306">
        <f>SUM(E53:P53)+R53</f>
        <v>0</v>
      </c>
      <c r="T53" s="105"/>
      <c r="U53" s="100"/>
      <c r="V53" s="100"/>
      <c r="W53" s="165"/>
      <c r="X53" s="166"/>
      <c r="Y53" s="164"/>
      <c r="Z53" s="164"/>
    </row>
    <row r="54" spans="2:26" s="11" customFormat="1" ht="18" customHeight="1">
      <c r="B54" s="33"/>
      <c r="C54" s="24" t="s">
        <v>63</v>
      </c>
      <c r="D54" s="101" t="s">
        <v>64</v>
      </c>
      <c r="E54" s="102">
        <f>$D$19/12</f>
        <v>0</v>
      </c>
      <c r="F54" s="102">
        <f t="shared" ref="F54:G54" si="12">$D$19/12</f>
        <v>0</v>
      </c>
      <c r="G54" s="102">
        <f t="shared" si="12"/>
        <v>0</v>
      </c>
      <c r="H54" s="102">
        <f t="shared" ref="H54:P54" si="13">(($D$19+$H$19)-SUM($E$54:$G$54))/9</f>
        <v>0</v>
      </c>
      <c r="I54" s="102">
        <f t="shared" si="13"/>
        <v>0</v>
      </c>
      <c r="J54" s="102">
        <f t="shared" si="13"/>
        <v>0</v>
      </c>
      <c r="K54" s="102">
        <f t="shared" si="13"/>
        <v>0</v>
      </c>
      <c r="L54" s="102">
        <f t="shared" si="13"/>
        <v>0</v>
      </c>
      <c r="M54" s="102">
        <f t="shared" si="13"/>
        <v>0</v>
      </c>
      <c r="N54" s="102">
        <f t="shared" si="13"/>
        <v>0</v>
      </c>
      <c r="O54" s="102">
        <f t="shared" si="13"/>
        <v>0</v>
      </c>
      <c r="P54" s="102">
        <f t="shared" si="13"/>
        <v>0</v>
      </c>
      <c r="Q54" s="392">
        <f>SUMIF($E$48:$P$48,$Q$48,E54:P54)</f>
        <v>0</v>
      </c>
      <c r="R54" s="104"/>
      <c r="S54" s="306">
        <f t="shared" ref="S54:S63" si="14">SUM(E54:P54)+R54</f>
        <v>0</v>
      </c>
      <c r="T54" s="105"/>
      <c r="U54" s="100"/>
      <c r="V54" s="100"/>
      <c r="W54" s="165"/>
      <c r="X54" s="166"/>
      <c r="Y54" s="164"/>
      <c r="Z54" s="164"/>
    </row>
    <row r="55" spans="2:26" s="11" customFormat="1" ht="18" customHeight="1">
      <c r="B55" s="33"/>
      <c r="C55" s="24" t="s">
        <v>1157</v>
      </c>
      <c r="D55" s="101" t="s">
        <v>64</v>
      </c>
      <c r="E55" s="102">
        <f>$D$20/12</f>
        <v>0</v>
      </c>
      <c r="F55" s="102">
        <f t="shared" ref="F55:G55" si="15">$D$20/12</f>
        <v>0</v>
      </c>
      <c r="G55" s="102">
        <f t="shared" si="15"/>
        <v>0</v>
      </c>
      <c r="H55" s="102">
        <f t="shared" ref="H55:P55" si="16">(($D$20+$H$20)-SUM($E$55:$G$55))/9</f>
        <v>0</v>
      </c>
      <c r="I55" s="102">
        <f t="shared" si="16"/>
        <v>0</v>
      </c>
      <c r="J55" s="102">
        <f t="shared" si="16"/>
        <v>0</v>
      </c>
      <c r="K55" s="102">
        <f t="shared" si="16"/>
        <v>0</v>
      </c>
      <c r="L55" s="102">
        <f t="shared" si="16"/>
        <v>0</v>
      </c>
      <c r="M55" s="102">
        <f t="shared" si="16"/>
        <v>0</v>
      </c>
      <c r="N55" s="102">
        <f t="shared" si="16"/>
        <v>0</v>
      </c>
      <c r="O55" s="102">
        <f t="shared" si="16"/>
        <v>0</v>
      </c>
      <c r="P55" s="102">
        <f t="shared" si="16"/>
        <v>0</v>
      </c>
      <c r="Q55" s="392">
        <f>SUMIF($E$48:$P$48,$Q$48,E55:P55)</f>
        <v>0</v>
      </c>
      <c r="R55" s="104"/>
      <c r="S55" s="306">
        <f t="shared" si="14"/>
        <v>0</v>
      </c>
      <c r="T55" s="105"/>
      <c r="U55" s="100"/>
      <c r="V55" s="100"/>
      <c r="W55" s="165"/>
      <c r="X55" s="166"/>
      <c r="Y55" s="164"/>
      <c r="Z55" s="164"/>
    </row>
    <row r="56" spans="2:26" s="11" customFormat="1" ht="18" customHeight="1">
      <c r="B56" s="33"/>
      <c r="C56" s="24" t="s">
        <v>1220</v>
      </c>
      <c r="D56" s="366" t="s">
        <v>64</v>
      </c>
      <c r="E56" s="102"/>
      <c r="F56" s="102"/>
      <c r="G56" s="102"/>
      <c r="H56" s="102">
        <f>$D$21*4/12+$H$21</f>
        <v>0</v>
      </c>
      <c r="I56" s="102">
        <f t="shared" ref="I56:P56" si="17">($D$21-$H$56+$H$21)/8</f>
        <v>0</v>
      </c>
      <c r="J56" s="102">
        <f t="shared" si="17"/>
        <v>0</v>
      </c>
      <c r="K56" s="102">
        <f t="shared" si="17"/>
        <v>0</v>
      </c>
      <c r="L56" s="102">
        <f t="shared" si="17"/>
        <v>0</v>
      </c>
      <c r="M56" s="102">
        <f t="shared" si="17"/>
        <v>0</v>
      </c>
      <c r="N56" s="102">
        <f t="shared" si="17"/>
        <v>0</v>
      </c>
      <c r="O56" s="102">
        <f t="shared" si="17"/>
        <v>0</v>
      </c>
      <c r="P56" s="102">
        <f t="shared" si="17"/>
        <v>0</v>
      </c>
      <c r="Q56" s="392">
        <f>SUMIF($E$48:$P$48,$Q$48,E56:P56)</f>
        <v>0</v>
      </c>
      <c r="R56" s="104"/>
      <c r="S56" s="306">
        <f t="shared" si="14"/>
        <v>0</v>
      </c>
      <c r="T56" s="105"/>
      <c r="U56" s="100"/>
      <c r="V56" s="100"/>
      <c r="W56" s="165"/>
      <c r="X56" s="166"/>
      <c r="Y56" s="164"/>
      <c r="Z56" s="164"/>
    </row>
    <row r="57" spans="2:26" s="11" customFormat="1" ht="18" customHeight="1">
      <c r="B57" s="33"/>
      <c r="C57" s="54" t="s">
        <v>187</v>
      </c>
      <c r="D57" s="101" t="s">
        <v>61</v>
      </c>
      <c r="E57" s="102">
        <f>($D$22/12)</f>
        <v>0</v>
      </c>
      <c r="F57" s="102">
        <f>($D$22/12)</f>
        <v>0</v>
      </c>
      <c r="G57" s="102">
        <f>($D$22/12)</f>
        <v>0</v>
      </c>
      <c r="H57" s="102">
        <f t="shared" ref="H57:P57" si="18">(($D$22+$H$22)-SUM($E$57:$G$57))/9</f>
        <v>0</v>
      </c>
      <c r="I57" s="102">
        <f t="shared" si="18"/>
        <v>0</v>
      </c>
      <c r="J57" s="102">
        <f t="shared" si="18"/>
        <v>0</v>
      </c>
      <c r="K57" s="102">
        <f t="shared" si="18"/>
        <v>0</v>
      </c>
      <c r="L57" s="102">
        <f t="shared" si="18"/>
        <v>0</v>
      </c>
      <c r="M57" s="102">
        <f t="shared" si="18"/>
        <v>0</v>
      </c>
      <c r="N57" s="102">
        <f t="shared" si="18"/>
        <v>0</v>
      </c>
      <c r="O57" s="102">
        <f t="shared" si="18"/>
        <v>0</v>
      </c>
      <c r="P57" s="102">
        <f t="shared" si="18"/>
        <v>0</v>
      </c>
      <c r="Q57" s="392">
        <f t="shared" si="9"/>
        <v>0</v>
      </c>
      <c r="R57" s="104"/>
      <c r="S57" s="306">
        <f t="shared" si="14"/>
        <v>0</v>
      </c>
      <c r="T57" s="105"/>
      <c r="U57" s="100"/>
      <c r="V57" s="107"/>
      <c r="W57" s="165"/>
      <c r="X57" s="166"/>
      <c r="Y57" s="164"/>
      <c r="Z57" s="164"/>
    </row>
    <row r="58" spans="2:26" s="11" customFormat="1" ht="18" customHeight="1">
      <c r="B58" s="33"/>
      <c r="C58" s="54" t="s">
        <v>1144</v>
      </c>
      <c r="D58" s="101" t="s">
        <v>61</v>
      </c>
      <c r="E58" s="102">
        <f>$D$23/12</f>
        <v>0</v>
      </c>
      <c r="F58" s="102">
        <f>$D$23/12</f>
        <v>0</v>
      </c>
      <c r="G58" s="102">
        <f>$D$23/12</f>
        <v>0</v>
      </c>
      <c r="H58" s="102">
        <f t="shared" ref="H58:P58" si="19">(($D$23+$H$23)-SUM($E$58:$G$58))/9</f>
        <v>0</v>
      </c>
      <c r="I58" s="102">
        <f t="shared" si="19"/>
        <v>0</v>
      </c>
      <c r="J58" s="102">
        <f t="shared" si="19"/>
        <v>0</v>
      </c>
      <c r="K58" s="102">
        <f t="shared" si="19"/>
        <v>0</v>
      </c>
      <c r="L58" s="102">
        <f t="shared" si="19"/>
        <v>0</v>
      </c>
      <c r="M58" s="102">
        <f t="shared" si="19"/>
        <v>0</v>
      </c>
      <c r="N58" s="102">
        <f t="shared" si="19"/>
        <v>0</v>
      </c>
      <c r="O58" s="102">
        <f t="shared" si="19"/>
        <v>0</v>
      </c>
      <c r="P58" s="102">
        <f t="shared" si="19"/>
        <v>0</v>
      </c>
      <c r="Q58" s="392">
        <f t="shared" si="9"/>
        <v>0</v>
      </c>
      <c r="R58" s="104"/>
      <c r="S58" s="306">
        <f>SUM(E58:P58)+R58</f>
        <v>0</v>
      </c>
      <c r="T58" s="105"/>
      <c r="U58" s="100"/>
      <c r="V58" s="107"/>
      <c r="W58" s="165"/>
      <c r="X58" s="166"/>
      <c r="Y58" s="164"/>
      <c r="Z58" s="164"/>
    </row>
    <row r="59" spans="2:26" s="11" customFormat="1" ht="18" customHeight="1">
      <c r="B59" s="33"/>
      <c r="C59" s="54" t="s">
        <v>188</v>
      </c>
      <c r="D59" s="101" t="s">
        <v>61</v>
      </c>
      <c r="E59" s="102">
        <f>$D$24/12</f>
        <v>0</v>
      </c>
      <c r="F59" s="102">
        <f>$D$24/12</f>
        <v>0</v>
      </c>
      <c r="G59" s="102">
        <f>$D$24/12</f>
        <v>0</v>
      </c>
      <c r="H59" s="102">
        <f t="shared" ref="H59:P59" si="20">(($D$24+$H$24)-SUM($E$59:$G$59))/9</f>
        <v>0</v>
      </c>
      <c r="I59" s="102">
        <f t="shared" si="20"/>
        <v>0</v>
      </c>
      <c r="J59" s="102">
        <f t="shared" si="20"/>
        <v>0</v>
      </c>
      <c r="K59" s="102">
        <f t="shared" si="20"/>
        <v>0</v>
      </c>
      <c r="L59" s="102">
        <f t="shared" si="20"/>
        <v>0</v>
      </c>
      <c r="M59" s="102">
        <f t="shared" si="20"/>
        <v>0</v>
      </c>
      <c r="N59" s="102">
        <f t="shared" si="20"/>
        <v>0</v>
      </c>
      <c r="O59" s="102">
        <f t="shared" si="20"/>
        <v>0</v>
      </c>
      <c r="P59" s="102">
        <f t="shared" si="20"/>
        <v>0</v>
      </c>
      <c r="Q59" s="392">
        <f t="shared" si="9"/>
        <v>0</v>
      </c>
      <c r="R59" s="104"/>
      <c r="S59" s="306">
        <f t="shared" si="14"/>
        <v>0</v>
      </c>
      <c r="T59" s="105"/>
      <c r="U59" s="100"/>
      <c r="V59" s="107"/>
      <c r="W59" s="165"/>
      <c r="X59" s="166"/>
      <c r="Y59" s="164"/>
      <c r="Z59" s="164"/>
    </row>
    <row r="60" spans="2:26" s="11" customFormat="1" ht="18" customHeight="1">
      <c r="B60" s="33"/>
      <c r="C60" s="54" t="s">
        <v>1145</v>
      </c>
      <c r="D60" s="101" t="s">
        <v>61</v>
      </c>
      <c r="E60" s="102">
        <f>$D$25/12</f>
        <v>0</v>
      </c>
      <c r="F60" s="102">
        <f>$D$25/12</f>
        <v>0</v>
      </c>
      <c r="G60" s="102">
        <f>$D$25/12</f>
        <v>0</v>
      </c>
      <c r="H60" s="102">
        <f t="shared" ref="H60:P60" si="21">((($D$25+$H$25)-SUM($E$60:$G$60))/9)</f>
        <v>0</v>
      </c>
      <c r="I60" s="102">
        <f t="shared" si="21"/>
        <v>0</v>
      </c>
      <c r="J60" s="102">
        <f t="shared" si="21"/>
        <v>0</v>
      </c>
      <c r="K60" s="102">
        <f t="shared" si="21"/>
        <v>0</v>
      </c>
      <c r="L60" s="102">
        <f t="shared" si="21"/>
        <v>0</v>
      </c>
      <c r="M60" s="102">
        <f t="shared" si="21"/>
        <v>0</v>
      </c>
      <c r="N60" s="102">
        <f t="shared" si="21"/>
        <v>0</v>
      </c>
      <c r="O60" s="102">
        <f t="shared" si="21"/>
        <v>0</v>
      </c>
      <c r="P60" s="102">
        <f t="shared" si="21"/>
        <v>0</v>
      </c>
      <c r="Q60" s="392">
        <f t="shared" si="9"/>
        <v>0</v>
      </c>
      <c r="R60" s="104"/>
      <c r="S60" s="306">
        <f t="shared" si="14"/>
        <v>0</v>
      </c>
      <c r="T60" s="105"/>
      <c r="U60" s="100"/>
      <c r="V60" s="107"/>
      <c r="W60" s="165"/>
      <c r="X60" s="166"/>
      <c r="Y60" s="164"/>
      <c r="Z60" s="164"/>
    </row>
    <row r="61" spans="2:26" s="11" customFormat="1" ht="18" customHeight="1">
      <c r="B61" s="33"/>
      <c r="C61" s="54" t="s">
        <v>189</v>
      </c>
      <c r="D61" s="101" t="s">
        <v>61</v>
      </c>
      <c r="E61" s="102">
        <f>$D$26/12</f>
        <v>0</v>
      </c>
      <c r="F61" s="102">
        <f>$D$26/12</f>
        <v>0</v>
      </c>
      <c r="G61" s="102">
        <f>$D$26/12</f>
        <v>0</v>
      </c>
      <c r="H61" s="102">
        <f t="shared" ref="H61:P61" si="22">((($D$26+$H$26)-SUM($E$61:$G$61))/9)</f>
        <v>0</v>
      </c>
      <c r="I61" s="102">
        <f t="shared" si="22"/>
        <v>0</v>
      </c>
      <c r="J61" s="102">
        <f t="shared" si="22"/>
        <v>0</v>
      </c>
      <c r="K61" s="102">
        <f t="shared" si="22"/>
        <v>0</v>
      </c>
      <c r="L61" s="102">
        <f t="shared" si="22"/>
        <v>0</v>
      </c>
      <c r="M61" s="102">
        <f t="shared" si="22"/>
        <v>0</v>
      </c>
      <c r="N61" s="102">
        <f t="shared" si="22"/>
        <v>0</v>
      </c>
      <c r="O61" s="102">
        <f t="shared" si="22"/>
        <v>0</v>
      </c>
      <c r="P61" s="102">
        <f t="shared" si="22"/>
        <v>0</v>
      </c>
      <c r="Q61" s="392">
        <f t="shared" si="9"/>
        <v>0</v>
      </c>
      <c r="R61" s="104"/>
      <c r="S61" s="306">
        <f>SUM(E61:P61)+R61</f>
        <v>0</v>
      </c>
      <c r="T61" s="105"/>
      <c r="U61" s="100"/>
      <c r="V61" s="107"/>
      <c r="W61" s="165"/>
      <c r="X61" s="166"/>
      <c r="Y61" s="164"/>
      <c r="Z61" s="164"/>
    </row>
    <row r="62" spans="2:26" s="11" customFormat="1" ht="18" customHeight="1">
      <c r="B62" s="33"/>
      <c r="C62" s="54" t="s">
        <v>1146</v>
      </c>
      <c r="D62" s="101" t="s">
        <v>61</v>
      </c>
      <c r="E62" s="102">
        <f>$D$27/12</f>
        <v>0</v>
      </c>
      <c r="F62" s="102">
        <f>$D$27/12</f>
        <v>0</v>
      </c>
      <c r="G62" s="102">
        <f>$D$27/12</f>
        <v>0</v>
      </c>
      <c r="H62" s="102">
        <f t="shared" ref="H62:P62" si="23">((($D$27+$H$27)-SUM($E$62:$G$62))/9)</f>
        <v>0</v>
      </c>
      <c r="I62" s="102">
        <f t="shared" si="23"/>
        <v>0</v>
      </c>
      <c r="J62" s="102">
        <f t="shared" si="23"/>
        <v>0</v>
      </c>
      <c r="K62" s="102">
        <f t="shared" si="23"/>
        <v>0</v>
      </c>
      <c r="L62" s="102">
        <f t="shared" si="23"/>
        <v>0</v>
      </c>
      <c r="M62" s="102">
        <f t="shared" si="23"/>
        <v>0</v>
      </c>
      <c r="N62" s="102">
        <f t="shared" si="23"/>
        <v>0</v>
      </c>
      <c r="O62" s="102">
        <f t="shared" si="23"/>
        <v>0</v>
      </c>
      <c r="P62" s="102">
        <f t="shared" si="23"/>
        <v>0</v>
      </c>
      <c r="Q62" s="392">
        <f t="shared" si="9"/>
        <v>0</v>
      </c>
      <c r="R62" s="104"/>
      <c r="S62" s="306">
        <f t="shared" si="14"/>
        <v>0</v>
      </c>
      <c r="T62" s="105"/>
      <c r="U62" s="100"/>
      <c r="V62" s="107"/>
      <c r="W62" s="165"/>
      <c r="X62" s="166"/>
      <c r="Y62" s="164"/>
      <c r="Z62" s="164"/>
    </row>
    <row r="63" spans="2:26" s="11" customFormat="1" ht="18" customHeight="1">
      <c r="B63" s="33"/>
      <c r="C63" s="54" t="s">
        <v>219</v>
      </c>
      <c r="D63" s="101" t="s">
        <v>64</v>
      </c>
      <c r="E63" s="102"/>
      <c r="F63" s="102"/>
      <c r="G63" s="102"/>
      <c r="H63" s="102">
        <f>((($D$28+$H$28)/9))</f>
        <v>0</v>
      </c>
      <c r="I63" s="102">
        <f t="shared" ref="I63:P63" si="24">((($D$28+$H$28)/9))</f>
        <v>0</v>
      </c>
      <c r="J63" s="102">
        <f t="shared" si="24"/>
        <v>0</v>
      </c>
      <c r="K63" s="102">
        <f t="shared" si="24"/>
        <v>0</v>
      </c>
      <c r="L63" s="102">
        <f t="shared" si="24"/>
        <v>0</v>
      </c>
      <c r="M63" s="102">
        <f t="shared" si="24"/>
        <v>0</v>
      </c>
      <c r="N63" s="102">
        <f t="shared" si="24"/>
        <v>0</v>
      </c>
      <c r="O63" s="102">
        <f t="shared" si="24"/>
        <v>0</v>
      </c>
      <c r="P63" s="102">
        <f t="shared" si="24"/>
        <v>0</v>
      </c>
      <c r="Q63" s="392">
        <f t="shared" si="9"/>
        <v>0</v>
      </c>
      <c r="R63" s="104"/>
      <c r="S63" s="306">
        <f t="shared" si="14"/>
        <v>0</v>
      </c>
      <c r="T63" s="105"/>
      <c r="U63" s="100"/>
      <c r="V63" s="107"/>
      <c r="W63" s="165"/>
      <c r="X63" s="166"/>
      <c r="Y63" s="164"/>
      <c r="Z63" s="164"/>
    </row>
    <row r="64" spans="2:26" ht="18" customHeight="1">
      <c r="B64" s="20"/>
      <c r="C64" s="80" t="s">
        <v>54</v>
      </c>
      <c r="D64" s="86">
        <f>SUM(D53:D63)</f>
        <v>0</v>
      </c>
      <c r="E64" s="124">
        <f t="shared" ref="E64:P64" si="25">SUM(E52:E63)</f>
        <v>0</v>
      </c>
      <c r="F64" s="124">
        <f t="shared" si="25"/>
        <v>0</v>
      </c>
      <c r="G64" s="124">
        <f t="shared" si="25"/>
        <v>0</v>
      </c>
      <c r="H64" s="124">
        <f t="shared" si="25"/>
        <v>0</v>
      </c>
      <c r="I64" s="124">
        <f t="shared" si="25"/>
        <v>0</v>
      </c>
      <c r="J64" s="124">
        <f t="shared" si="25"/>
        <v>0</v>
      </c>
      <c r="K64" s="124">
        <f t="shared" si="25"/>
        <v>0</v>
      </c>
      <c r="L64" s="124">
        <f t="shared" si="25"/>
        <v>0</v>
      </c>
      <c r="M64" s="124">
        <f t="shared" si="25"/>
        <v>0</v>
      </c>
      <c r="N64" s="124">
        <f t="shared" si="25"/>
        <v>0</v>
      </c>
      <c r="O64" s="124">
        <f t="shared" si="25"/>
        <v>0</v>
      </c>
      <c r="P64" s="124">
        <f t="shared" si="25"/>
        <v>0</v>
      </c>
      <c r="Q64" s="395">
        <f>SUMIF($E$48:$P$48,$Q$48,E64:P64)</f>
        <v>0</v>
      </c>
      <c r="R64" s="142">
        <f>SUM(R52:R63)</f>
        <v>0</v>
      </c>
      <c r="S64" s="145">
        <f t="shared" ref="S64:S68" si="26">SUM(E64:P64)+R64</f>
        <v>0</v>
      </c>
      <c r="T64" s="152"/>
      <c r="U64" s="71"/>
      <c r="V64" s="71"/>
    </row>
    <row r="65" spans="1:27" s="11" customFormat="1" ht="18" customHeight="1">
      <c r="B65" s="33"/>
      <c r="C65" s="24" t="s">
        <v>1101</v>
      </c>
      <c r="D65" s="366" t="s">
        <v>127</v>
      </c>
      <c r="E65" s="102">
        <f>$D$30/12</f>
        <v>0</v>
      </c>
      <c r="F65" s="102">
        <f t="shared" ref="F65:G65" si="27">$D$30/12</f>
        <v>0</v>
      </c>
      <c r="G65" s="102">
        <f t="shared" si="27"/>
        <v>0</v>
      </c>
      <c r="H65" s="102">
        <f>(($D$30+$H$30)-SUM($E$65:$G$65))/9</f>
        <v>0</v>
      </c>
      <c r="I65" s="102">
        <f>(($D$30+$H$30)-SUM($E$65:$G$65))/9</f>
        <v>0</v>
      </c>
      <c r="J65" s="102">
        <f t="shared" ref="J65:P65" si="28">(($D$30+$H$30+$J$30)-SUM($E$65:$I$65))/7</f>
        <v>0</v>
      </c>
      <c r="K65" s="102">
        <f t="shared" si="28"/>
        <v>0</v>
      </c>
      <c r="L65" s="102">
        <f t="shared" si="28"/>
        <v>0</v>
      </c>
      <c r="M65" s="102">
        <f t="shared" si="28"/>
        <v>0</v>
      </c>
      <c r="N65" s="102">
        <f t="shared" si="28"/>
        <v>0</v>
      </c>
      <c r="O65" s="102">
        <f t="shared" si="28"/>
        <v>0</v>
      </c>
      <c r="P65" s="102">
        <f t="shared" si="28"/>
        <v>0</v>
      </c>
      <c r="Q65" s="392">
        <f>SUMIF($E$48:$P$48,$Q$48,E65:P65)</f>
        <v>0</v>
      </c>
      <c r="R65" s="104"/>
      <c r="S65" s="306">
        <f t="shared" si="26"/>
        <v>0</v>
      </c>
      <c r="T65" s="105"/>
      <c r="U65" s="100"/>
      <c r="V65" s="107"/>
      <c r="W65" s="165"/>
      <c r="X65" s="166"/>
      <c r="Y65" s="164"/>
      <c r="Z65" s="164"/>
    </row>
    <row r="66" spans="1:27" s="11" customFormat="1" ht="18" customHeight="1">
      <c r="B66" s="33"/>
      <c r="C66" s="25" t="s">
        <v>1102</v>
      </c>
      <c r="D66" s="366" t="s">
        <v>1180</v>
      </c>
      <c r="E66" s="102">
        <f>$D$31/12</f>
        <v>0</v>
      </c>
      <c r="F66" s="102">
        <f t="shared" ref="F66:P66" si="29">$D$31/12</f>
        <v>0</v>
      </c>
      <c r="G66" s="102">
        <f t="shared" si="29"/>
        <v>0</v>
      </c>
      <c r="H66" s="102">
        <f t="shared" si="29"/>
        <v>0</v>
      </c>
      <c r="I66" s="102">
        <f t="shared" si="29"/>
        <v>0</v>
      </c>
      <c r="J66" s="102">
        <f t="shared" si="29"/>
        <v>0</v>
      </c>
      <c r="K66" s="102">
        <f t="shared" si="29"/>
        <v>0</v>
      </c>
      <c r="L66" s="102">
        <f t="shared" si="29"/>
        <v>0</v>
      </c>
      <c r="M66" s="102">
        <f t="shared" si="29"/>
        <v>0</v>
      </c>
      <c r="N66" s="102">
        <f t="shared" si="29"/>
        <v>0</v>
      </c>
      <c r="O66" s="102">
        <f t="shared" si="29"/>
        <v>0</v>
      </c>
      <c r="P66" s="102">
        <f t="shared" si="29"/>
        <v>0</v>
      </c>
      <c r="Q66" s="392">
        <f t="shared" si="9"/>
        <v>0</v>
      </c>
      <c r="R66" s="106"/>
      <c r="S66" s="306">
        <f t="shared" si="26"/>
        <v>0</v>
      </c>
      <c r="T66" s="105"/>
      <c r="U66" s="100"/>
      <c r="V66" s="107"/>
      <c r="W66" s="165"/>
      <c r="X66" s="166"/>
      <c r="Y66" s="164"/>
      <c r="Z66" s="164"/>
    </row>
    <row r="67" spans="1:27" s="11" customFormat="1" ht="18" customHeight="1">
      <c r="B67" s="33"/>
      <c r="C67" s="25" t="s">
        <v>1150</v>
      </c>
      <c r="D67" s="366" t="s">
        <v>1179</v>
      </c>
      <c r="E67" s="102">
        <f>$D$32/12</f>
        <v>0</v>
      </c>
      <c r="F67" s="102">
        <f t="shared" ref="F67:P67" si="30">$D$32/12</f>
        <v>0</v>
      </c>
      <c r="G67" s="102">
        <f t="shared" si="30"/>
        <v>0</v>
      </c>
      <c r="H67" s="102">
        <f t="shared" si="30"/>
        <v>0</v>
      </c>
      <c r="I67" s="102">
        <f t="shared" si="30"/>
        <v>0</v>
      </c>
      <c r="J67" s="102">
        <f t="shared" si="30"/>
        <v>0</v>
      </c>
      <c r="K67" s="102">
        <f t="shared" si="30"/>
        <v>0</v>
      </c>
      <c r="L67" s="102">
        <f t="shared" si="30"/>
        <v>0</v>
      </c>
      <c r="M67" s="102">
        <f t="shared" si="30"/>
        <v>0</v>
      </c>
      <c r="N67" s="102">
        <f t="shared" si="30"/>
        <v>0</v>
      </c>
      <c r="O67" s="102">
        <f t="shared" si="30"/>
        <v>0</v>
      </c>
      <c r="P67" s="102">
        <f t="shared" si="30"/>
        <v>0</v>
      </c>
      <c r="Q67" s="392">
        <f t="shared" si="9"/>
        <v>0</v>
      </c>
      <c r="R67" s="106"/>
      <c r="S67" s="306">
        <f t="shared" si="26"/>
        <v>0</v>
      </c>
      <c r="T67" s="105"/>
      <c r="U67" s="100"/>
      <c r="V67" s="107"/>
      <c r="W67" s="165"/>
      <c r="X67" s="166"/>
      <c r="Y67" s="164"/>
      <c r="Z67" s="164"/>
    </row>
    <row r="68" spans="1:27" s="11" customFormat="1" ht="18" customHeight="1">
      <c r="B68" s="33"/>
      <c r="C68" s="24" t="s">
        <v>1171</v>
      </c>
      <c r="D68" s="101" t="s">
        <v>62</v>
      </c>
      <c r="E68" s="102">
        <f>($D$33+$D$34)/12</f>
        <v>0</v>
      </c>
      <c r="F68" s="102">
        <f t="shared" ref="F68:I68" si="31">($D$33+$D$34)/12</f>
        <v>0</v>
      </c>
      <c r="G68" s="102">
        <f t="shared" si="31"/>
        <v>0</v>
      </c>
      <c r="H68" s="102">
        <f t="shared" si="31"/>
        <v>0</v>
      </c>
      <c r="I68" s="102">
        <f t="shared" si="31"/>
        <v>0</v>
      </c>
      <c r="J68" s="102">
        <f t="shared" ref="J68:P68" si="32">((($D$33+$D$34)+$J$33)-SUM($E$68:$I$68))/7</f>
        <v>0</v>
      </c>
      <c r="K68" s="102">
        <f t="shared" si="32"/>
        <v>0</v>
      </c>
      <c r="L68" s="102">
        <f t="shared" si="32"/>
        <v>0</v>
      </c>
      <c r="M68" s="102">
        <f t="shared" si="32"/>
        <v>0</v>
      </c>
      <c r="N68" s="102">
        <f t="shared" si="32"/>
        <v>0</v>
      </c>
      <c r="O68" s="102">
        <f t="shared" si="32"/>
        <v>0</v>
      </c>
      <c r="P68" s="102">
        <f t="shared" si="32"/>
        <v>0</v>
      </c>
      <c r="Q68" s="392">
        <f t="shared" si="9"/>
        <v>0</v>
      </c>
      <c r="R68" s="104"/>
      <c r="S68" s="306">
        <f t="shared" si="26"/>
        <v>0</v>
      </c>
      <c r="T68" s="105"/>
      <c r="U68" s="100"/>
      <c r="V68" s="100"/>
      <c r="W68" s="165"/>
      <c r="X68" s="166"/>
      <c r="Y68" s="164"/>
      <c r="Z68" s="164"/>
    </row>
    <row r="69" spans="1:27" s="11" customFormat="1" ht="18" customHeight="1">
      <c r="A69" s="11" t="s">
        <v>66</v>
      </c>
      <c r="B69" s="33" t="s">
        <v>66</v>
      </c>
      <c r="C69" s="80" t="s">
        <v>217</v>
      </c>
      <c r="D69" s="108"/>
      <c r="E69" s="109">
        <f>(SUM(E64:E68))</f>
        <v>0</v>
      </c>
      <c r="F69" s="109">
        <f t="shared" ref="F69:Q69" si="33">SUM(F64:F68)</f>
        <v>0</v>
      </c>
      <c r="G69" s="109">
        <f t="shared" si="33"/>
        <v>0</v>
      </c>
      <c r="H69" s="109">
        <f t="shared" si="33"/>
        <v>0</v>
      </c>
      <c r="I69" s="109">
        <f t="shared" si="33"/>
        <v>0</v>
      </c>
      <c r="J69" s="109">
        <f t="shared" si="33"/>
        <v>0</v>
      </c>
      <c r="K69" s="109">
        <f t="shared" si="33"/>
        <v>0</v>
      </c>
      <c r="L69" s="109">
        <f t="shared" si="33"/>
        <v>0</v>
      </c>
      <c r="M69" s="109">
        <f t="shared" si="33"/>
        <v>0</v>
      </c>
      <c r="N69" s="109">
        <f t="shared" si="33"/>
        <v>0</v>
      </c>
      <c r="O69" s="109">
        <f t="shared" si="33"/>
        <v>0</v>
      </c>
      <c r="P69" s="109">
        <f t="shared" si="33"/>
        <v>0</v>
      </c>
      <c r="Q69" s="391">
        <f t="shared" si="33"/>
        <v>0</v>
      </c>
      <c r="R69" s="109"/>
      <c r="S69" s="126">
        <f>SUM(E69:P69)+R69</f>
        <v>0</v>
      </c>
      <c r="T69" s="105"/>
      <c r="U69" s="100"/>
      <c r="V69" s="167"/>
      <c r="W69" s="166"/>
      <c r="X69" s="168"/>
      <c r="Y69" s="164"/>
      <c r="Z69" s="164"/>
    </row>
    <row r="70" spans="1:27" s="11" customFormat="1" ht="18" customHeight="1" thickBot="1">
      <c r="B70" s="33"/>
      <c r="C70" s="24"/>
      <c r="D70" s="101"/>
      <c r="E70" s="102"/>
      <c r="F70" s="102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396"/>
      <c r="R70" s="104"/>
      <c r="S70" s="126"/>
      <c r="T70" s="113"/>
      <c r="U70" s="100"/>
      <c r="V70" s="176"/>
      <c r="W70" s="169"/>
      <c r="X70" s="170"/>
      <c r="Y70" s="164"/>
    </row>
    <row r="71" spans="1:27" s="11" customFormat="1" ht="18" customHeight="1" thickBot="1">
      <c r="B71" s="33"/>
      <c r="C71" s="81" t="s">
        <v>221</v>
      </c>
      <c r="D71" s="115"/>
      <c r="E71" s="116">
        <f>_xlfn.IFNA(VLOOKUP($D$4,'Summary Oct 2024'!$A:$BX,21,FALSE),0)</f>
        <v>0</v>
      </c>
      <c r="F71" s="116">
        <f>_xlfn.IFNA(VLOOKUP($D$4,'Summary Oct 2024'!$A:$BX,22,FALSE),0)</f>
        <v>0</v>
      </c>
      <c r="G71" s="116">
        <f>_xlfn.IFNA(VLOOKUP($D$4,'Summary Oct 2024'!$A:$BX,23,FALSE),0)</f>
        <v>0</v>
      </c>
      <c r="H71" s="116">
        <f>_xlfn.IFNA(VLOOKUP($D$4,'Summary Oct 2024'!$A:$BX,24,FALSE),0)</f>
        <v>0</v>
      </c>
      <c r="I71" s="116">
        <f>_xlfn.IFNA(VLOOKUP($D$4,'Summary Oct 2024'!$A:$BX,25,FALSE),0)</f>
        <v>0</v>
      </c>
      <c r="J71" s="116">
        <f>_xlfn.IFNA(VLOOKUP($D$4,'Summary Oct 2024'!$A:$BX,26,FALSE),0)</f>
        <v>0</v>
      </c>
      <c r="K71" s="116">
        <f>_xlfn.IFNA(VLOOKUP($D$4,'Summary Oct 2024'!$A:$BX,27,FALSE),0)</f>
        <v>0</v>
      </c>
      <c r="L71" s="116">
        <f>_xlfn.IFNA(VLOOKUP($D$4,'Summary Oct 2024'!$A:$BX,28,FALSE),0)</f>
        <v>0</v>
      </c>
      <c r="M71" s="116">
        <f>_xlfn.IFNA(VLOOKUP($D$4,'Summary Oct 2024'!$A:$BX,29,FALSE),0)</f>
        <v>0</v>
      </c>
      <c r="N71" s="116">
        <f>_xlfn.IFNA(VLOOKUP($D$4,'Summary Oct 2024'!$A:$BX,30,FALSE),0)</f>
        <v>0</v>
      </c>
      <c r="O71" s="116">
        <f>_xlfn.IFNA(VLOOKUP($D$4,'Summary Oct 2024'!$A:$BX,31,FALSE),0)</f>
        <v>0</v>
      </c>
      <c r="P71" s="116">
        <f>_xlfn.IFNA(VLOOKUP($D$4,'Summary Oct 2024'!$A:$BX,32,FALSE),0)</f>
        <v>0</v>
      </c>
      <c r="Q71" s="116">
        <f>SUM(Q69:Q70)</f>
        <v>0</v>
      </c>
      <c r="R71" s="116">
        <f>SUM(R69:R70)</f>
        <v>0</v>
      </c>
      <c r="S71" s="117">
        <f>SUM(E71:P71)+R71</f>
        <v>0</v>
      </c>
      <c r="T71" s="113"/>
      <c r="U71" s="100"/>
      <c r="V71" s="100"/>
      <c r="W71" s="170"/>
      <c r="X71" s="171"/>
      <c r="Y71" s="171"/>
      <c r="AA71" s="172"/>
    </row>
    <row r="72" spans="1:27" s="11" customFormat="1" ht="18" customHeight="1">
      <c r="B72" s="33"/>
      <c r="C72" s="69"/>
      <c r="D72" s="118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20"/>
      <c r="R72" s="120"/>
      <c r="S72" s="402"/>
      <c r="T72" s="113"/>
      <c r="U72" s="100"/>
      <c r="V72" s="100"/>
      <c r="X72" s="171"/>
    </row>
    <row r="73" spans="1:27" s="11" customFormat="1" ht="18" customHeight="1">
      <c r="B73" s="33"/>
      <c r="C73" s="401" t="s">
        <v>1219</v>
      </c>
      <c r="D73" s="108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10"/>
      <c r="R73" s="110"/>
      <c r="S73" s="109"/>
      <c r="T73" s="113"/>
      <c r="U73" s="100"/>
      <c r="V73" s="100"/>
      <c r="X73" s="171"/>
    </row>
    <row r="74" spans="1:27" s="11" customFormat="1" ht="18" customHeight="1">
      <c r="B74" s="33"/>
      <c r="C74" s="283" t="s">
        <v>1112</v>
      </c>
      <c r="D74" s="111" t="s">
        <v>64</v>
      </c>
      <c r="E74" s="112"/>
      <c r="F74" s="112"/>
      <c r="G74" s="112"/>
      <c r="H74" s="106">
        <f>_xlfn.IFNA(VLOOKUP(D4,OtherDSG!A:AB,8,FALSE),0)</f>
        <v>0</v>
      </c>
      <c r="I74" s="112"/>
      <c r="J74" s="112"/>
      <c r="K74" s="112"/>
      <c r="L74" s="112"/>
      <c r="M74" s="112"/>
      <c r="N74" s="112"/>
      <c r="O74" s="112"/>
      <c r="P74" s="112"/>
      <c r="Q74" s="392">
        <f>SUMIF($E$48:$P$48,$Q$48,E74:P74)</f>
        <v>0</v>
      </c>
      <c r="R74" s="121"/>
      <c r="S74" s="126">
        <f>SUM(E74:P74)+R74</f>
        <v>0</v>
      </c>
      <c r="T74" s="113"/>
      <c r="U74" s="100"/>
      <c r="V74" s="100"/>
      <c r="X74" s="171"/>
    </row>
    <row r="75" spans="1:27" s="11" customFormat="1" ht="18" customHeight="1">
      <c r="B75" s="33"/>
      <c r="C75" s="283" t="s">
        <v>1113</v>
      </c>
      <c r="D75" s="111" t="s">
        <v>64</v>
      </c>
      <c r="E75" s="112"/>
      <c r="F75" s="112"/>
      <c r="G75" s="112"/>
      <c r="H75" s="106">
        <f>_xlfn.IFNA(VLOOKUP(D4,OtherDSG!A:BB,11,FALSE),0)</f>
        <v>0</v>
      </c>
      <c r="I75" s="112"/>
      <c r="J75" s="112"/>
      <c r="K75" s="112"/>
      <c r="L75" s="112"/>
      <c r="M75" s="112"/>
      <c r="N75" s="112"/>
      <c r="O75" s="112"/>
      <c r="P75" s="112"/>
      <c r="Q75" s="392">
        <f t="shared" ref="Q75:Q101" si="34">SUMIF($E$48:$P$48,$Q$48,E75:P75)</f>
        <v>0</v>
      </c>
      <c r="R75" s="121"/>
      <c r="S75" s="126">
        <f t="shared" ref="S75:S79" si="35">SUM(E75:P75)+R75</f>
        <v>0</v>
      </c>
      <c r="T75" s="113"/>
      <c r="U75" s="100"/>
      <c r="V75" s="100"/>
      <c r="X75" s="171"/>
    </row>
    <row r="76" spans="1:27" s="11" customFormat="1" ht="18" customHeight="1">
      <c r="B76" s="33"/>
      <c r="C76" s="283" t="s">
        <v>67</v>
      </c>
      <c r="D76" s="111" t="s">
        <v>61</v>
      </c>
      <c r="E76" s="112"/>
      <c r="F76" s="112"/>
      <c r="G76" s="112"/>
      <c r="H76" s="112"/>
      <c r="I76" s="106">
        <f>_xlfn.IFNA(VLOOKUP(D4,OtherDSG!A:BC,14,FALSE),0)</f>
        <v>0</v>
      </c>
      <c r="J76" s="106">
        <f>_xlfn.IFNA(VLOOKUP($D$4,OtherDSG!$A:$BD,15,FALSE),0)/7</f>
        <v>0</v>
      </c>
      <c r="K76" s="106">
        <f>_xlfn.IFNA(VLOOKUP($D$4,OtherDSG!$A:$BD,15,FALSE),0)/7</f>
        <v>0</v>
      </c>
      <c r="L76" s="106">
        <f>_xlfn.IFNA(VLOOKUP($D$4,OtherDSG!$A:$BD,15,FALSE),0)/7</f>
        <v>0</v>
      </c>
      <c r="M76" s="106">
        <f>_xlfn.IFNA(VLOOKUP($D$4,OtherDSG!$A:$BD,15,FALSE),0)/7</f>
        <v>0</v>
      </c>
      <c r="N76" s="106">
        <f>_xlfn.IFNA(VLOOKUP($D$4,OtherDSG!$A:$BD,15,FALSE),0)/7</f>
        <v>0</v>
      </c>
      <c r="O76" s="106">
        <f>_xlfn.IFNA(VLOOKUP($D$4,OtherDSG!$A:$BD,15,FALSE),0)/7</f>
        <v>0</v>
      </c>
      <c r="P76" s="106">
        <f>_xlfn.IFNA(VLOOKUP($D$4,OtherDSG!$A:$BD,15,FALSE),0)/7</f>
        <v>0</v>
      </c>
      <c r="Q76" s="392">
        <f t="shared" si="34"/>
        <v>0</v>
      </c>
      <c r="R76" s="121"/>
      <c r="S76" s="126">
        <f t="shared" si="35"/>
        <v>0</v>
      </c>
      <c r="T76" s="113"/>
      <c r="U76" s="100"/>
      <c r="V76" s="100"/>
      <c r="X76" s="171"/>
    </row>
    <row r="77" spans="1:27" s="11" customFormat="1" ht="18" customHeight="1">
      <c r="B77" s="33"/>
      <c r="C77" s="283" t="s">
        <v>1114</v>
      </c>
      <c r="D77" s="111" t="s">
        <v>61</v>
      </c>
      <c r="E77" s="112"/>
      <c r="F77" s="112"/>
      <c r="G77" s="112"/>
      <c r="H77" s="112"/>
      <c r="I77" s="106">
        <f>_xlfn.IFNA(VLOOKUP($D$4,OtherDSG!$A:$BD,16,FALSE),0)</f>
        <v>0</v>
      </c>
      <c r="J77" s="390"/>
      <c r="K77" s="106"/>
      <c r="L77" s="106"/>
      <c r="M77" s="106"/>
      <c r="N77" s="106"/>
      <c r="O77" s="106"/>
      <c r="P77" s="106"/>
      <c r="Q77" s="392">
        <f t="shared" si="34"/>
        <v>0</v>
      </c>
      <c r="R77" s="121"/>
      <c r="S77" s="126">
        <f t="shared" si="35"/>
        <v>0</v>
      </c>
      <c r="T77" s="113"/>
      <c r="U77" s="100"/>
      <c r="V77" s="100"/>
      <c r="X77" s="171"/>
    </row>
    <row r="78" spans="1:27" s="11" customFormat="1" ht="18" customHeight="1">
      <c r="B78" s="33"/>
      <c r="C78" s="397" t="s">
        <v>76</v>
      </c>
      <c r="D78" s="108"/>
      <c r="E78" s="109"/>
      <c r="F78" s="109"/>
      <c r="G78" s="109"/>
      <c r="H78" s="109"/>
      <c r="I78" s="129"/>
      <c r="J78" s="398"/>
      <c r="K78" s="129"/>
      <c r="L78" s="129"/>
      <c r="M78" s="129"/>
      <c r="N78" s="129"/>
      <c r="O78" s="129"/>
      <c r="P78" s="129"/>
      <c r="Q78" s="110"/>
      <c r="R78" s="110"/>
      <c r="S78" s="109"/>
      <c r="T78" s="399"/>
      <c r="U78" s="400"/>
      <c r="V78" s="100"/>
      <c r="X78" s="171"/>
    </row>
    <row r="79" spans="1:27" s="11" customFormat="1" ht="18" customHeight="1">
      <c r="B79" s="33"/>
      <c r="C79" s="24" t="s">
        <v>129</v>
      </c>
      <c r="D79" s="111" t="s">
        <v>61</v>
      </c>
      <c r="E79" s="106"/>
      <c r="F79" s="106"/>
      <c r="G79" s="106"/>
      <c r="H79" s="106"/>
      <c r="I79" s="106"/>
      <c r="J79" s="106"/>
      <c r="K79" s="122"/>
      <c r="L79" s="122"/>
      <c r="M79" s="122"/>
      <c r="N79" s="122"/>
      <c r="O79" s="122"/>
      <c r="P79" s="123"/>
      <c r="Q79" s="392">
        <f t="shared" si="34"/>
        <v>0</v>
      </c>
      <c r="R79" s="104"/>
      <c r="S79" s="126">
        <f t="shared" si="35"/>
        <v>0</v>
      </c>
      <c r="T79" s="113"/>
      <c r="U79" s="100"/>
      <c r="V79" s="100"/>
      <c r="W79" s="165"/>
      <c r="X79" s="168"/>
      <c r="Y79" s="164"/>
      <c r="Z79" s="164"/>
    </row>
    <row r="80" spans="1:27" s="11" customFormat="1" ht="18" customHeight="1">
      <c r="B80" s="33"/>
      <c r="C80" s="367" t="s">
        <v>130</v>
      </c>
      <c r="D80" s="111" t="s">
        <v>61</v>
      </c>
      <c r="E80" s="106"/>
      <c r="F80" s="106"/>
      <c r="G80" s="106">
        <f>_xlfn.IFNA(VLOOKUP(D4,Grants!A:AX,10,FALSE),0)</f>
        <v>0</v>
      </c>
      <c r="H80" s="106"/>
      <c r="I80" s="106"/>
      <c r="J80" s="106"/>
      <c r="K80" s="122"/>
      <c r="L80" s="122"/>
      <c r="M80" s="122"/>
      <c r="N80" s="122"/>
      <c r="O80" s="122"/>
      <c r="P80" s="123"/>
      <c r="Q80" s="392">
        <f t="shared" si="34"/>
        <v>0</v>
      </c>
      <c r="R80" s="104"/>
      <c r="S80" s="126">
        <f>SUM(E80:P80)+R80</f>
        <v>0</v>
      </c>
      <c r="T80" s="113"/>
      <c r="U80" s="100"/>
      <c r="V80" s="100"/>
      <c r="W80" s="165"/>
      <c r="X80" s="168"/>
      <c r="Y80" s="164"/>
      <c r="Z80" s="164"/>
    </row>
    <row r="81" spans="2:26" s="11" customFormat="1" ht="18" customHeight="1">
      <c r="B81" s="33"/>
      <c r="C81" s="367" t="s">
        <v>135</v>
      </c>
      <c r="D81" s="111" t="s">
        <v>61</v>
      </c>
      <c r="E81" s="106"/>
      <c r="F81" s="106"/>
      <c r="G81" s="106">
        <f>_xlfn.IFNA(VLOOKUP(D4,Grants!A:AX,13,FALSE),0)</f>
        <v>0</v>
      </c>
      <c r="H81" s="106"/>
      <c r="I81" s="106"/>
      <c r="J81" s="106"/>
      <c r="K81" s="122"/>
      <c r="L81" s="122"/>
      <c r="M81" s="122"/>
      <c r="N81" s="122"/>
      <c r="O81" s="122"/>
      <c r="P81" s="123"/>
      <c r="Q81" s="392">
        <f t="shared" si="34"/>
        <v>0</v>
      </c>
      <c r="R81" s="104"/>
      <c r="S81" s="126">
        <f t="shared" ref="S81:S101" si="36">SUM(E81:P81)+R81</f>
        <v>0</v>
      </c>
      <c r="T81" s="113"/>
      <c r="U81" s="100"/>
      <c r="V81" s="100"/>
      <c r="W81" s="165"/>
      <c r="X81" s="168"/>
      <c r="Y81" s="164"/>
      <c r="Z81" s="164"/>
    </row>
    <row r="82" spans="2:26" s="11" customFormat="1" ht="18" customHeight="1">
      <c r="B82" s="33"/>
      <c r="C82" s="367" t="s">
        <v>1205</v>
      </c>
      <c r="D82" s="111" t="s">
        <v>61</v>
      </c>
      <c r="E82" s="106"/>
      <c r="F82" s="106"/>
      <c r="G82" s="106"/>
      <c r="H82" s="106">
        <f>_xlfn.IFNA(VLOOKUP(D4,Grants!A:AX,21,FALSE),0)</f>
        <v>0</v>
      </c>
      <c r="I82" s="106"/>
      <c r="J82" s="106"/>
      <c r="K82" s="122"/>
      <c r="L82" s="122"/>
      <c r="M82" s="122"/>
      <c r="N82" s="122"/>
      <c r="O82" s="122"/>
      <c r="P82" s="123"/>
      <c r="Q82" s="392">
        <f t="shared" si="34"/>
        <v>0</v>
      </c>
      <c r="R82" s="104"/>
      <c r="S82" s="126">
        <f t="shared" si="36"/>
        <v>0</v>
      </c>
      <c r="T82" s="113"/>
      <c r="U82" s="100"/>
      <c r="V82" s="100"/>
      <c r="W82" s="165"/>
      <c r="X82" s="168"/>
      <c r="Y82" s="164"/>
      <c r="Z82" s="164"/>
    </row>
    <row r="83" spans="2:26" s="11" customFormat="1" ht="18" customHeight="1">
      <c r="B83" s="33"/>
      <c r="C83" s="367" t="s">
        <v>1207</v>
      </c>
      <c r="D83" s="111" t="s">
        <v>61</v>
      </c>
      <c r="E83" s="106"/>
      <c r="F83" s="106"/>
      <c r="G83" s="106"/>
      <c r="H83" s="106"/>
      <c r="I83" s="106">
        <f>_xlfn.IFNA(VLOOKUP(D4,Grants!A:AY,9,FALSE),0)</f>
        <v>0</v>
      </c>
      <c r="J83" s="106"/>
      <c r="K83" s="122"/>
      <c r="L83" s="122"/>
      <c r="M83" s="122"/>
      <c r="N83" s="122"/>
      <c r="O83" s="122"/>
      <c r="P83" s="123"/>
      <c r="Q83" s="392">
        <f t="shared" si="34"/>
        <v>0</v>
      </c>
      <c r="R83" s="104"/>
      <c r="S83" s="126">
        <f t="shared" si="36"/>
        <v>0</v>
      </c>
      <c r="T83" s="113"/>
      <c r="U83" s="100"/>
      <c r="V83" s="100"/>
      <c r="W83" s="165"/>
      <c r="X83" s="168"/>
      <c r="Y83" s="164"/>
      <c r="Z83" s="164"/>
    </row>
    <row r="84" spans="2:26" s="11" customFormat="1" ht="18" customHeight="1">
      <c r="B84" s="33"/>
      <c r="C84" s="367" t="s">
        <v>1208</v>
      </c>
      <c r="D84" s="111" t="s">
        <v>61</v>
      </c>
      <c r="E84" s="106"/>
      <c r="F84" s="106"/>
      <c r="G84" s="106"/>
      <c r="H84" s="106"/>
      <c r="I84" s="106">
        <f>_xlfn.IFNA(VLOOKUP(D4,Grants!A:AY,22,FALSE),0)</f>
        <v>0</v>
      </c>
      <c r="J84" s="106"/>
      <c r="K84" s="122"/>
      <c r="L84" s="122"/>
      <c r="M84" s="122"/>
      <c r="N84" s="122"/>
      <c r="O84" s="122"/>
      <c r="P84" s="123"/>
      <c r="Q84" s="392">
        <f t="shared" si="34"/>
        <v>0</v>
      </c>
      <c r="R84" s="104"/>
      <c r="S84" s="126">
        <f t="shared" si="36"/>
        <v>0</v>
      </c>
      <c r="T84" s="113"/>
      <c r="U84" s="100"/>
      <c r="V84" s="100"/>
      <c r="W84" s="165"/>
      <c r="X84" s="168"/>
      <c r="Y84" s="164"/>
      <c r="Z84" s="164"/>
    </row>
    <row r="85" spans="2:26" s="11" customFormat="1" ht="18" customHeight="1">
      <c r="B85" s="33"/>
      <c r="C85" s="403" t="s">
        <v>1223</v>
      </c>
      <c r="D85" s="404" t="s">
        <v>61</v>
      </c>
      <c r="E85" s="106"/>
      <c r="F85" s="106"/>
      <c r="G85" s="106"/>
      <c r="H85" s="106"/>
      <c r="I85" s="106"/>
      <c r="J85" s="106">
        <f>_xlfn.IFNA(VLOOKUP(D4,Grants!A:AZ,23,FALSE),0)</f>
        <v>0</v>
      </c>
      <c r="K85" s="122"/>
      <c r="L85" s="122"/>
      <c r="M85" s="122"/>
      <c r="N85" s="122"/>
      <c r="O85" s="122"/>
      <c r="P85" s="123"/>
      <c r="Q85" s="392"/>
      <c r="R85" s="104"/>
      <c r="S85" s="126"/>
      <c r="T85" s="113"/>
      <c r="U85" s="100"/>
      <c r="V85" s="100"/>
      <c r="W85" s="165"/>
      <c r="X85" s="168"/>
      <c r="Y85" s="164"/>
      <c r="Z85" s="164"/>
    </row>
    <row r="86" spans="2:26" s="11" customFormat="1" ht="18" customHeight="1">
      <c r="B86" s="33"/>
      <c r="C86" s="24" t="s">
        <v>78</v>
      </c>
      <c r="D86" s="111" t="s">
        <v>62</v>
      </c>
      <c r="E86" s="106"/>
      <c r="F86" s="106"/>
      <c r="G86" s="106"/>
      <c r="H86" s="106"/>
      <c r="I86" s="106"/>
      <c r="J86" s="106"/>
      <c r="K86" s="122"/>
      <c r="L86" s="122"/>
      <c r="M86" s="122"/>
      <c r="N86" s="122"/>
      <c r="O86" s="122"/>
      <c r="P86" s="123"/>
      <c r="Q86" s="392">
        <f t="shared" si="34"/>
        <v>0</v>
      </c>
      <c r="R86" s="104"/>
      <c r="S86" s="126">
        <f t="shared" si="36"/>
        <v>0</v>
      </c>
      <c r="T86" s="113"/>
      <c r="U86" s="100"/>
      <c r="V86" s="100"/>
      <c r="W86" s="173"/>
      <c r="X86" s="171"/>
    </row>
    <row r="87" spans="2:26" s="11" customFormat="1" ht="18" customHeight="1">
      <c r="B87" s="33"/>
      <c r="C87" s="367" t="s">
        <v>69</v>
      </c>
      <c r="D87" s="111" t="s">
        <v>79</v>
      </c>
      <c r="E87" s="106"/>
      <c r="F87" s="106"/>
      <c r="G87" s="106"/>
      <c r="H87" s="106">
        <f>_xlfn.IFNA(VLOOKUP(D4,Grants!A:AX,18,FALSE),0)</f>
        <v>0</v>
      </c>
      <c r="I87" s="106"/>
      <c r="J87" s="106"/>
      <c r="K87" s="122"/>
      <c r="L87" s="122"/>
      <c r="M87" s="122"/>
      <c r="N87" s="122"/>
      <c r="O87" s="122"/>
      <c r="P87" s="123"/>
      <c r="Q87" s="392">
        <f t="shared" si="34"/>
        <v>0</v>
      </c>
      <c r="R87" s="104"/>
      <c r="S87" s="126">
        <f t="shared" si="36"/>
        <v>0</v>
      </c>
      <c r="T87" s="113"/>
      <c r="U87" s="100"/>
      <c r="V87" s="100"/>
      <c r="W87" s="173"/>
      <c r="X87" s="171"/>
    </row>
    <row r="88" spans="2:26" s="11" customFormat="1" ht="18" customHeight="1">
      <c r="B88" s="33"/>
      <c r="C88" s="367" t="s">
        <v>192</v>
      </c>
      <c r="D88" s="111" t="s">
        <v>80</v>
      </c>
      <c r="E88" s="106"/>
      <c r="F88" s="106">
        <f>_xlfn.IFNA(VLOOKUP(D4,Grants!A:AX,12,FALSE),0)</f>
        <v>0</v>
      </c>
      <c r="G88" s="106">
        <f>_xlfn.IFNA(VLOOKUP(D4,Grants!A:AX,14,FALSE),0)</f>
        <v>0</v>
      </c>
      <c r="H88" s="106">
        <f>_xlfn.IFNA(VLOOKUP(D4,Grants!A:AZ,16,FALSE),0)</f>
        <v>0</v>
      </c>
      <c r="I88" s="106"/>
      <c r="J88" s="106"/>
      <c r="K88" s="122"/>
      <c r="L88" s="122"/>
      <c r="M88" s="122"/>
      <c r="N88" s="122"/>
      <c r="O88" s="122"/>
      <c r="P88" s="123"/>
      <c r="Q88" s="392">
        <f t="shared" si="34"/>
        <v>0</v>
      </c>
      <c r="R88" s="104"/>
      <c r="S88" s="126">
        <f t="shared" si="36"/>
        <v>0</v>
      </c>
      <c r="T88" s="113"/>
      <c r="U88" s="100"/>
      <c r="V88" s="100"/>
      <c r="W88" s="165"/>
      <c r="X88" s="168"/>
      <c r="Y88" s="164"/>
      <c r="Z88" s="164"/>
    </row>
    <row r="89" spans="2:26" s="11" customFormat="1" ht="18" customHeight="1">
      <c r="B89" s="33"/>
      <c r="C89" s="24" t="s">
        <v>77</v>
      </c>
      <c r="D89" s="111" t="s">
        <v>80</v>
      </c>
      <c r="E89" s="106"/>
      <c r="F89" s="106"/>
      <c r="G89" s="106"/>
      <c r="H89" s="106"/>
      <c r="I89" s="106"/>
      <c r="J89" s="106"/>
      <c r="K89" s="122"/>
      <c r="L89" s="122"/>
      <c r="M89" s="122"/>
      <c r="N89" s="122"/>
      <c r="O89" s="122"/>
      <c r="P89" s="123"/>
      <c r="Q89" s="392">
        <f t="shared" si="34"/>
        <v>0</v>
      </c>
      <c r="R89" s="104"/>
      <c r="S89" s="126">
        <f t="shared" si="36"/>
        <v>0</v>
      </c>
      <c r="T89" s="113"/>
      <c r="U89" s="100"/>
      <c r="V89" s="100"/>
      <c r="W89" s="173"/>
      <c r="X89" s="171"/>
    </row>
    <row r="90" spans="2:26" s="11" customFormat="1" ht="18" customHeight="1">
      <c r="B90" s="33"/>
      <c r="C90" s="24" t="s">
        <v>134</v>
      </c>
      <c r="D90" s="111" t="s">
        <v>80</v>
      </c>
      <c r="E90" s="106"/>
      <c r="F90" s="106"/>
      <c r="G90" s="106"/>
      <c r="H90" s="106"/>
      <c r="I90" s="106"/>
      <c r="J90" s="106"/>
      <c r="K90" s="122"/>
      <c r="L90" s="122"/>
      <c r="M90" s="122"/>
      <c r="N90" s="122"/>
      <c r="O90" s="122"/>
      <c r="P90" s="123"/>
      <c r="Q90" s="392">
        <f t="shared" si="34"/>
        <v>0</v>
      </c>
      <c r="R90" s="104"/>
      <c r="S90" s="126">
        <f t="shared" si="36"/>
        <v>0</v>
      </c>
      <c r="T90" s="113"/>
      <c r="U90" s="100"/>
      <c r="V90" s="100"/>
      <c r="W90" s="173"/>
      <c r="X90" s="171"/>
    </row>
    <row r="91" spans="2:26" s="11" customFormat="1" ht="18" customHeight="1">
      <c r="B91" s="33"/>
      <c r="C91" s="24" t="s">
        <v>132</v>
      </c>
      <c r="D91" s="111" t="s">
        <v>80</v>
      </c>
      <c r="E91" s="106"/>
      <c r="F91" s="106"/>
      <c r="G91" s="106"/>
      <c r="H91" s="106"/>
      <c r="I91" s="106"/>
      <c r="J91" s="106"/>
      <c r="K91" s="122"/>
      <c r="L91" s="122"/>
      <c r="M91" s="122"/>
      <c r="N91" s="122"/>
      <c r="O91" s="106"/>
      <c r="P91" s="123"/>
      <c r="Q91" s="392">
        <f t="shared" si="34"/>
        <v>0</v>
      </c>
      <c r="R91" s="104"/>
      <c r="S91" s="126">
        <f t="shared" si="36"/>
        <v>0</v>
      </c>
      <c r="T91" s="113"/>
      <c r="U91" s="100"/>
      <c r="V91" s="100"/>
      <c r="W91" s="173"/>
      <c r="X91" s="171"/>
    </row>
    <row r="92" spans="2:26" s="11" customFormat="1" ht="18" customHeight="1">
      <c r="B92" s="33"/>
      <c r="C92" s="367" t="s">
        <v>131</v>
      </c>
      <c r="D92" s="111" t="s">
        <v>80</v>
      </c>
      <c r="E92" s="106"/>
      <c r="F92" s="106"/>
      <c r="G92" s="106"/>
      <c r="H92" s="106">
        <f>_xlfn.IFNA(VLOOKUP(D4,Grants!A:AZ,20,FALSE),0)</f>
        <v>0</v>
      </c>
      <c r="I92" s="106"/>
      <c r="J92" s="106"/>
      <c r="K92" s="122"/>
      <c r="L92" s="122"/>
      <c r="M92" s="122"/>
      <c r="N92" s="122"/>
      <c r="O92" s="122"/>
      <c r="P92" s="123"/>
      <c r="Q92" s="392">
        <f t="shared" si="34"/>
        <v>0</v>
      </c>
      <c r="R92" s="104"/>
      <c r="S92" s="126">
        <f t="shared" si="36"/>
        <v>0</v>
      </c>
      <c r="T92" s="113"/>
      <c r="U92" s="100"/>
      <c r="V92" s="100"/>
      <c r="W92" s="173"/>
      <c r="X92" s="171"/>
    </row>
    <row r="93" spans="2:26" s="11" customFormat="1" ht="18" customHeight="1">
      <c r="B93" s="33"/>
      <c r="C93" s="24"/>
      <c r="D93" s="111" t="s">
        <v>136</v>
      </c>
      <c r="E93" s="106"/>
      <c r="F93" s="106"/>
      <c r="G93" s="106"/>
      <c r="H93" s="106"/>
      <c r="I93" s="106"/>
      <c r="J93" s="106"/>
      <c r="K93" s="122"/>
      <c r="L93" s="122"/>
      <c r="M93" s="122"/>
      <c r="N93" s="122"/>
      <c r="O93" s="122"/>
      <c r="P93" s="123"/>
      <c r="Q93" s="392">
        <f t="shared" si="34"/>
        <v>0</v>
      </c>
      <c r="R93" s="104"/>
      <c r="S93" s="126">
        <f t="shared" si="36"/>
        <v>0</v>
      </c>
      <c r="T93" s="113"/>
      <c r="U93" s="100"/>
      <c r="V93" s="100"/>
      <c r="W93" s="173"/>
      <c r="X93" s="171"/>
    </row>
    <row r="94" spans="2:26" s="11" customFormat="1" ht="18" customHeight="1">
      <c r="B94" s="33"/>
      <c r="C94" s="367" t="s">
        <v>215</v>
      </c>
      <c r="D94" s="111" t="s">
        <v>112</v>
      </c>
      <c r="E94" s="106"/>
      <c r="F94" s="106">
        <f>_xlfn.IFNA(VLOOKUP(D4,Grants!A:AX,11,FALSE),0)</f>
        <v>0</v>
      </c>
      <c r="G94" s="106"/>
      <c r="H94" s="106">
        <f>_xlfn.IFNA(VLOOKUP(D4,Grants!A:AZ,15,FALSE),0)</f>
        <v>0</v>
      </c>
      <c r="I94" s="106"/>
      <c r="J94" s="106"/>
      <c r="K94" s="122"/>
      <c r="L94" s="122"/>
      <c r="M94" s="122"/>
      <c r="N94" s="122"/>
      <c r="O94" s="106"/>
      <c r="P94" s="123"/>
      <c r="Q94" s="392">
        <f t="shared" si="34"/>
        <v>0</v>
      </c>
      <c r="R94" s="104"/>
      <c r="S94" s="126">
        <f t="shared" si="36"/>
        <v>0</v>
      </c>
      <c r="T94" s="113"/>
      <c r="U94" s="100"/>
      <c r="V94" s="100"/>
      <c r="W94" s="165"/>
      <c r="X94" s="168"/>
      <c r="Y94" s="164"/>
      <c r="Z94" s="164"/>
    </row>
    <row r="95" spans="2:26" s="11" customFormat="1" ht="18" customHeight="1">
      <c r="B95" s="33"/>
      <c r="C95" s="403" t="s">
        <v>1221</v>
      </c>
      <c r="D95" s="404" t="s">
        <v>112</v>
      </c>
      <c r="E95" s="106"/>
      <c r="F95" s="106"/>
      <c r="G95" s="106"/>
      <c r="H95" s="106"/>
      <c r="I95" s="106"/>
      <c r="J95" s="106"/>
      <c r="K95" s="122"/>
      <c r="L95" s="122"/>
      <c r="M95" s="122"/>
      <c r="N95" s="122"/>
      <c r="O95" s="106"/>
      <c r="P95" s="123"/>
      <c r="Q95" s="392"/>
      <c r="R95" s="104"/>
      <c r="S95" s="126"/>
      <c r="T95" s="113"/>
      <c r="U95" s="100"/>
      <c r="V95" s="100"/>
      <c r="W95" s="165"/>
      <c r="X95" s="168"/>
      <c r="Y95" s="164"/>
      <c r="Z95" s="164"/>
    </row>
    <row r="96" spans="2:26" s="11" customFormat="1" ht="18" customHeight="1">
      <c r="B96" s="33"/>
      <c r="C96" s="367" t="s">
        <v>206</v>
      </c>
      <c r="D96" s="111" t="s">
        <v>112</v>
      </c>
      <c r="E96" s="106"/>
      <c r="F96" s="106"/>
      <c r="G96" s="106"/>
      <c r="H96" s="106">
        <f>_xlfn.IFNA(VLOOKUP(D4,Grants!A:AZ,19,FALSE),0)</f>
        <v>0</v>
      </c>
      <c r="I96" s="106"/>
      <c r="J96" s="106"/>
      <c r="K96" s="122"/>
      <c r="L96" s="122"/>
      <c r="M96" s="122"/>
      <c r="N96" s="122"/>
      <c r="O96" s="122"/>
      <c r="P96" s="123"/>
      <c r="Q96" s="392">
        <f t="shared" si="34"/>
        <v>0</v>
      </c>
      <c r="R96" s="104"/>
      <c r="S96" s="126">
        <f t="shared" si="36"/>
        <v>0</v>
      </c>
      <c r="T96" s="113"/>
      <c r="U96" s="100"/>
      <c r="V96" s="100"/>
      <c r="W96" s="165"/>
      <c r="X96" s="168"/>
      <c r="Y96" s="164"/>
      <c r="Z96" s="164"/>
    </row>
    <row r="97" spans="2:26" s="11" customFormat="1" ht="18" customHeight="1">
      <c r="B97" s="33"/>
      <c r="C97" s="367" t="s">
        <v>70</v>
      </c>
      <c r="D97" s="111" t="s">
        <v>111</v>
      </c>
      <c r="E97" s="106"/>
      <c r="F97" s="106">
        <f>_xlfn.IFNA(VLOOKUP(D4,Grants!A:AX,8,FALSE),0)</f>
        <v>0</v>
      </c>
      <c r="G97" s="106"/>
      <c r="H97" s="106"/>
      <c r="I97" s="106"/>
      <c r="J97" s="106"/>
      <c r="K97" s="122"/>
      <c r="L97" s="122"/>
      <c r="M97" s="122"/>
      <c r="N97" s="122"/>
      <c r="O97" s="106"/>
      <c r="P97" s="123"/>
      <c r="Q97" s="392">
        <f t="shared" si="34"/>
        <v>0</v>
      </c>
      <c r="R97" s="104"/>
      <c r="S97" s="126">
        <f t="shared" si="36"/>
        <v>0</v>
      </c>
      <c r="T97" s="113"/>
      <c r="U97" s="100"/>
      <c r="V97" s="100"/>
      <c r="W97" s="165"/>
      <c r="X97" s="168"/>
      <c r="Y97" s="164"/>
      <c r="Z97" s="164"/>
    </row>
    <row r="98" spans="2:26" s="11" customFormat="1" ht="18" customHeight="1">
      <c r="B98" s="33"/>
      <c r="C98" s="367" t="s">
        <v>1200</v>
      </c>
      <c r="D98" s="111" t="s">
        <v>111</v>
      </c>
      <c r="E98" s="106"/>
      <c r="F98" s="106"/>
      <c r="G98" s="106"/>
      <c r="H98" s="106">
        <f>_xlfn.IFNA(VLOOKUP(D4,Grants!A:AZ,17,FALSE),0)</f>
        <v>0</v>
      </c>
      <c r="I98" s="106"/>
      <c r="J98" s="106"/>
      <c r="K98" s="122"/>
      <c r="L98" s="122"/>
      <c r="M98" s="122"/>
      <c r="N98" s="122"/>
      <c r="O98" s="122"/>
      <c r="P98" s="123"/>
      <c r="Q98" s="392">
        <f t="shared" si="34"/>
        <v>0</v>
      </c>
      <c r="R98" s="104"/>
      <c r="S98" s="126">
        <f t="shared" si="36"/>
        <v>0</v>
      </c>
      <c r="T98" s="113"/>
      <c r="U98" s="100"/>
      <c r="V98" s="100"/>
      <c r="W98" s="165"/>
      <c r="X98" s="168"/>
      <c r="Y98" s="164"/>
      <c r="Z98" s="164"/>
    </row>
    <row r="99" spans="2:26" s="11" customFormat="1" ht="18" customHeight="1">
      <c r="B99" s="33"/>
      <c r="C99" s="367" t="s">
        <v>1199</v>
      </c>
      <c r="D99" s="111" t="s">
        <v>111</v>
      </c>
      <c r="E99" s="106"/>
      <c r="F99" s="106"/>
      <c r="G99" s="106"/>
      <c r="H99" s="106">
        <f>_xlfn.IFNA(VLOOKUP(D4,Grants!A:AZ,24,FALSE),0)</f>
        <v>0</v>
      </c>
      <c r="I99" s="106"/>
      <c r="J99" s="106"/>
      <c r="K99" s="122"/>
      <c r="L99" s="122"/>
      <c r="M99" s="122"/>
      <c r="N99" s="122"/>
      <c r="O99" s="122"/>
      <c r="P99" s="123"/>
      <c r="Q99" s="392">
        <f t="shared" si="34"/>
        <v>0</v>
      </c>
      <c r="R99" s="104"/>
      <c r="S99" s="126">
        <f t="shared" si="36"/>
        <v>0</v>
      </c>
      <c r="T99" s="113"/>
      <c r="U99" s="100"/>
      <c r="V99" s="100"/>
      <c r="W99" s="165"/>
      <c r="X99" s="168"/>
      <c r="Y99" s="164"/>
      <c r="Z99" s="164"/>
    </row>
    <row r="100" spans="2:26" s="11" customFormat="1" ht="18" customHeight="1">
      <c r="B100" s="33"/>
      <c r="C100" s="24" t="s">
        <v>196</v>
      </c>
      <c r="D100" s="111" t="s">
        <v>81</v>
      </c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392">
        <f t="shared" si="34"/>
        <v>0</v>
      </c>
      <c r="R100" s="103"/>
      <c r="S100" s="126">
        <f t="shared" si="36"/>
        <v>0</v>
      </c>
      <c r="T100" s="113"/>
      <c r="U100" s="100"/>
      <c r="V100" s="100"/>
      <c r="W100" s="170"/>
      <c r="X100" s="171"/>
    </row>
    <row r="101" spans="2:26" s="11" customFormat="1" ht="18" customHeight="1">
      <c r="B101" s="33"/>
      <c r="C101" s="4" t="s">
        <v>72</v>
      </c>
      <c r="D101" s="111" t="s">
        <v>81</v>
      </c>
      <c r="E101" s="106"/>
      <c r="F101" s="106"/>
      <c r="G101" s="106"/>
      <c r="H101" s="106"/>
      <c r="I101" s="106"/>
      <c r="J101" s="106"/>
      <c r="K101" s="122"/>
      <c r="L101" s="122"/>
      <c r="M101" s="122"/>
      <c r="N101" s="122"/>
      <c r="O101" s="122"/>
      <c r="P101" s="123"/>
      <c r="Q101" s="392">
        <f t="shared" si="34"/>
        <v>0</v>
      </c>
      <c r="R101" s="104"/>
      <c r="S101" s="126">
        <f t="shared" si="36"/>
        <v>0</v>
      </c>
      <c r="T101" s="113"/>
      <c r="U101" s="100"/>
      <c r="V101" s="100"/>
      <c r="W101" s="173"/>
      <c r="X101" s="171"/>
    </row>
    <row r="102" spans="2:26" s="11" customFormat="1" ht="18" customHeight="1">
      <c r="B102" s="33"/>
      <c r="C102" s="80" t="s">
        <v>71</v>
      </c>
      <c r="D102" s="108"/>
      <c r="E102" s="109">
        <f>SUM(E74:E101)</f>
        <v>0</v>
      </c>
      <c r="F102" s="109">
        <f>SUM(F74:F101)</f>
        <v>0</v>
      </c>
      <c r="G102" s="109">
        <f>SUM(G74:G101)</f>
        <v>0</v>
      </c>
      <c r="H102" s="109">
        <f t="shared" ref="H102:P102" si="37">SUM(H74:H101)</f>
        <v>0</v>
      </c>
      <c r="I102" s="109">
        <f t="shared" si="37"/>
        <v>0</v>
      </c>
      <c r="J102" s="109">
        <f t="shared" si="37"/>
        <v>0</v>
      </c>
      <c r="K102" s="109">
        <f t="shared" si="37"/>
        <v>0</v>
      </c>
      <c r="L102" s="109">
        <f t="shared" si="37"/>
        <v>0</v>
      </c>
      <c r="M102" s="109">
        <f t="shared" si="37"/>
        <v>0</v>
      </c>
      <c r="N102" s="109">
        <f t="shared" si="37"/>
        <v>0</v>
      </c>
      <c r="O102" s="109">
        <f t="shared" si="37"/>
        <v>0</v>
      </c>
      <c r="P102" s="109">
        <f t="shared" si="37"/>
        <v>0</v>
      </c>
      <c r="Q102" s="391">
        <f>SUM(Q74:Q101)</f>
        <v>0</v>
      </c>
      <c r="R102" s="110">
        <f t="shared" ref="R102" si="38">SUM(R87:R101)</f>
        <v>0</v>
      </c>
      <c r="S102" s="109">
        <f>SUM(E102:P102)+R102</f>
        <v>0</v>
      </c>
      <c r="T102" s="113"/>
      <c r="U102" s="100"/>
      <c r="V102" s="100"/>
      <c r="W102" s="173"/>
      <c r="X102" s="171"/>
    </row>
    <row r="103" spans="2:26" s="11" customFormat="1" ht="18" customHeight="1">
      <c r="B103" s="33"/>
      <c r="C103" s="79" t="s">
        <v>212</v>
      </c>
      <c r="D103" s="125"/>
      <c r="E103" s="126">
        <f>E102+E71</f>
        <v>0</v>
      </c>
      <c r="F103" s="126">
        <f>F102+F71</f>
        <v>0</v>
      </c>
      <c r="G103" s="126">
        <f t="shared" ref="G103:P103" si="39">G102+G71</f>
        <v>0</v>
      </c>
      <c r="H103" s="126">
        <f t="shared" si="39"/>
        <v>0</v>
      </c>
      <c r="I103" s="126">
        <f t="shared" si="39"/>
        <v>0</v>
      </c>
      <c r="J103" s="126">
        <f t="shared" si="39"/>
        <v>0</v>
      </c>
      <c r="K103" s="126">
        <f t="shared" si="39"/>
        <v>0</v>
      </c>
      <c r="L103" s="126">
        <f t="shared" si="39"/>
        <v>0</v>
      </c>
      <c r="M103" s="126">
        <f t="shared" si="39"/>
        <v>0</v>
      </c>
      <c r="N103" s="126">
        <f t="shared" si="39"/>
        <v>0</v>
      </c>
      <c r="O103" s="126">
        <f t="shared" si="39"/>
        <v>0</v>
      </c>
      <c r="P103" s="126">
        <f t="shared" si="39"/>
        <v>0</v>
      </c>
      <c r="Q103" s="126">
        <f>Q102+Q71</f>
        <v>0</v>
      </c>
      <c r="R103" s="126">
        <f>SUM(R87:R101)</f>
        <v>0</v>
      </c>
      <c r="S103" s="126">
        <f>SUM(E103:P103)</f>
        <v>0</v>
      </c>
      <c r="T103" s="113"/>
      <c r="U103" s="100"/>
      <c r="V103" s="100"/>
      <c r="W103" s="173"/>
      <c r="X103" s="171"/>
    </row>
    <row r="104" spans="2:26" s="11" customFormat="1" ht="18" customHeight="1">
      <c r="B104" s="33"/>
      <c r="C104" s="80" t="s">
        <v>214</v>
      </c>
      <c r="D104" s="127"/>
      <c r="E104" s="128">
        <f>E103-E102-E71</f>
        <v>0</v>
      </c>
      <c r="F104" s="128">
        <f>F103-F102-F71</f>
        <v>0</v>
      </c>
      <c r="G104" s="128">
        <f t="shared" ref="G104:Q104" si="40">G103-G102-G71</f>
        <v>0</v>
      </c>
      <c r="H104" s="128">
        <f t="shared" si="40"/>
        <v>0</v>
      </c>
      <c r="I104" s="128">
        <f t="shared" si="40"/>
        <v>0</v>
      </c>
      <c r="J104" s="128">
        <f t="shared" si="40"/>
        <v>0</v>
      </c>
      <c r="K104" s="128">
        <f t="shared" si="40"/>
        <v>0</v>
      </c>
      <c r="L104" s="128">
        <f t="shared" si="40"/>
        <v>0</v>
      </c>
      <c r="M104" s="128">
        <f t="shared" si="40"/>
        <v>0</v>
      </c>
      <c r="N104" s="128">
        <f t="shared" si="40"/>
        <v>0</v>
      </c>
      <c r="O104" s="128">
        <f t="shared" si="40"/>
        <v>0</v>
      </c>
      <c r="P104" s="128">
        <f t="shared" si="40"/>
        <v>0</v>
      </c>
      <c r="Q104" s="128">
        <f t="shared" si="40"/>
        <v>0</v>
      </c>
      <c r="R104" s="129"/>
      <c r="S104" s="109">
        <f>SUM(E104:R104)-Q104</f>
        <v>0</v>
      </c>
      <c r="T104" s="113"/>
      <c r="U104" s="100"/>
      <c r="V104" s="71"/>
      <c r="W104" s="169"/>
      <c r="X104" s="170"/>
    </row>
    <row r="105" spans="2:26">
      <c r="B105" s="20"/>
      <c r="D105" s="153"/>
      <c r="E105" s="151"/>
      <c r="F105" s="151"/>
      <c r="G105" s="151"/>
      <c r="H105" s="151"/>
      <c r="I105" s="154"/>
      <c r="J105" s="154"/>
      <c r="K105" s="154"/>
      <c r="L105" s="154"/>
      <c r="M105" s="154"/>
      <c r="N105" s="154"/>
      <c r="O105" s="154"/>
      <c r="P105" s="406"/>
      <c r="Q105" s="406"/>
      <c r="R105" s="406"/>
      <c r="S105" s="155"/>
      <c r="T105" s="130"/>
      <c r="U105" s="71"/>
      <c r="V105" s="71"/>
    </row>
    <row r="106" spans="2:26">
      <c r="B106" s="20"/>
      <c r="F106" s="151"/>
      <c r="G106" s="151"/>
      <c r="H106" s="151"/>
      <c r="I106" s="157"/>
      <c r="J106" s="157"/>
      <c r="K106" s="157"/>
      <c r="L106" s="157"/>
      <c r="M106" s="154"/>
      <c r="N106" s="154"/>
      <c r="O106" s="154"/>
      <c r="P106" s="405"/>
      <c r="Q106" s="405"/>
      <c r="R106" s="405"/>
      <c r="S106" s="158"/>
      <c r="T106" s="130"/>
      <c r="U106" s="71"/>
      <c r="V106" s="71"/>
    </row>
    <row r="107" spans="2:26" ht="15.5">
      <c r="B107" s="20"/>
      <c r="E107" s="185">
        <v>45383</v>
      </c>
      <c r="F107" s="185">
        <v>45413</v>
      </c>
      <c r="G107" s="185">
        <v>45444</v>
      </c>
      <c r="H107" s="185">
        <v>45474</v>
      </c>
      <c r="I107" s="185">
        <v>45505</v>
      </c>
      <c r="J107" s="185">
        <v>45536</v>
      </c>
      <c r="K107" s="185">
        <v>45566</v>
      </c>
      <c r="L107" s="185">
        <v>45597</v>
      </c>
      <c r="M107" s="185">
        <v>45627</v>
      </c>
      <c r="N107" s="185">
        <v>45658</v>
      </c>
      <c r="O107" s="185">
        <v>45689</v>
      </c>
      <c r="P107" s="185">
        <v>45717</v>
      </c>
      <c r="Q107" s="187" t="s">
        <v>114</v>
      </c>
      <c r="T107" s="130"/>
      <c r="U107" s="71"/>
      <c r="V107" s="71"/>
    </row>
    <row r="108" spans="2:26" ht="15.5">
      <c r="B108" s="20"/>
      <c r="C108" s="411" t="s">
        <v>208</v>
      </c>
      <c r="D108" s="412"/>
      <c r="E108" s="4"/>
      <c r="F108" s="188"/>
      <c r="G108" s="188"/>
      <c r="H108" s="188"/>
      <c r="I108" s="189"/>
      <c r="J108" s="189"/>
      <c r="K108" s="189"/>
      <c r="L108" s="189"/>
      <c r="M108" s="190"/>
      <c r="N108" s="190"/>
      <c r="O108" s="190"/>
      <c r="P108" s="190"/>
      <c r="Q108" s="190">
        <f>SUM(E108:P108)</f>
        <v>0</v>
      </c>
      <c r="R108" s="154"/>
      <c r="S108" s="159"/>
      <c r="T108" s="130"/>
      <c r="U108" s="71"/>
      <c r="V108" s="71"/>
    </row>
    <row r="109" spans="2:26" ht="12.75" customHeight="1">
      <c r="B109" s="20"/>
      <c r="F109" s="151"/>
      <c r="G109" s="151"/>
      <c r="H109" s="151"/>
      <c r="I109" s="157"/>
      <c r="J109" s="157"/>
      <c r="K109" s="157"/>
      <c r="L109" s="157"/>
      <c r="M109" s="154"/>
      <c r="N109" s="154"/>
      <c r="O109" s="154"/>
      <c r="P109" s="154"/>
      <c r="Q109" s="154"/>
      <c r="R109" s="154"/>
      <c r="S109" s="159"/>
      <c r="T109" s="130"/>
      <c r="U109" s="71"/>
      <c r="V109" s="71"/>
    </row>
    <row r="110" spans="2:26" ht="12.75" customHeight="1">
      <c r="B110" s="20"/>
      <c r="F110" s="151"/>
      <c r="G110" s="151"/>
      <c r="H110" s="151"/>
      <c r="I110" s="157"/>
      <c r="J110" s="157"/>
      <c r="K110" s="157"/>
      <c r="L110" s="157"/>
      <c r="M110" s="154"/>
      <c r="N110" s="154"/>
      <c r="O110" s="154"/>
      <c r="P110" s="154"/>
      <c r="Q110" s="154"/>
      <c r="R110" s="154"/>
      <c r="S110" s="159"/>
      <c r="T110" s="130"/>
      <c r="U110" s="71"/>
      <c r="V110" s="71"/>
    </row>
    <row r="111" spans="2:26">
      <c r="B111" s="20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3"/>
      <c r="T111" s="97"/>
      <c r="U111" s="71"/>
      <c r="V111" s="71"/>
    </row>
    <row r="112" spans="2:26" ht="15.5">
      <c r="B112" s="20"/>
      <c r="C112" s="184" t="s">
        <v>73</v>
      </c>
      <c r="D112" s="153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3"/>
      <c r="T112" s="97"/>
      <c r="U112" s="71"/>
      <c r="V112" s="71"/>
    </row>
    <row r="113" spans="2:22" ht="15.5">
      <c r="B113" s="20"/>
      <c r="C113" s="184" t="s">
        <v>56</v>
      </c>
      <c r="D113" s="153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3"/>
      <c r="T113" s="97"/>
      <c r="U113" s="71"/>
      <c r="V113" s="71"/>
    </row>
    <row r="114" spans="2:22" ht="15.5">
      <c r="B114" s="20"/>
      <c r="C114" s="184" t="s">
        <v>197</v>
      </c>
      <c r="D114" s="153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3"/>
      <c r="T114" s="97"/>
      <c r="U114" s="71"/>
      <c r="V114" s="71"/>
    </row>
    <row r="115" spans="2:22" ht="15.5">
      <c r="B115" s="20"/>
      <c r="C115" s="184" t="s">
        <v>207</v>
      </c>
      <c r="D115" s="153"/>
      <c r="E115" s="151"/>
      <c r="F115" s="151"/>
      <c r="G115" s="151"/>
      <c r="H115" s="151"/>
      <c r="I115" s="151"/>
      <c r="J115" s="175"/>
      <c r="K115" s="151"/>
      <c r="L115" s="151"/>
      <c r="M115" s="151"/>
      <c r="N115" s="151"/>
      <c r="O115" s="151"/>
      <c r="P115" s="151"/>
      <c r="Q115" s="151"/>
      <c r="R115" s="151"/>
      <c r="S115" s="153"/>
      <c r="T115" s="97"/>
      <c r="U115" s="71"/>
      <c r="V115" s="71"/>
    </row>
    <row r="116" spans="2:22" ht="15.5">
      <c r="B116" s="20"/>
      <c r="C116" s="184" t="s">
        <v>209</v>
      </c>
      <c r="D116" s="153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3"/>
      <c r="T116" s="97"/>
      <c r="U116" s="71"/>
      <c r="V116" s="71"/>
    </row>
    <row r="117" spans="2:22" ht="15.5">
      <c r="B117" s="20"/>
      <c r="C117" s="184" t="s">
        <v>1108</v>
      </c>
      <c r="D117" s="153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3"/>
      <c r="T117" s="97"/>
      <c r="U117" s="71"/>
      <c r="V117" s="71"/>
    </row>
    <row r="118" spans="2:22" ht="15" thickBot="1">
      <c r="B118" s="20"/>
      <c r="C118" s="156"/>
      <c r="D118" s="153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3"/>
      <c r="T118" s="97"/>
      <c r="U118" s="71"/>
      <c r="V118" s="71"/>
    </row>
    <row r="119" spans="2:22" ht="17">
      <c r="B119" s="20"/>
      <c r="C119" s="65" t="s">
        <v>115</v>
      </c>
      <c r="D119" s="131"/>
      <c r="E119" s="132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3"/>
      <c r="T119" s="97"/>
      <c r="U119" s="71"/>
      <c r="V119" s="71"/>
    </row>
    <row r="120" spans="2:22" ht="15.5">
      <c r="B120" s="20"/>
      <c r="C120" s="66" t="s">
        <v>116</v>
      </c>
      <c r="D120" s="133" t="s">
        <v>61</v>
      </c>
      <c r="E120" s="134">
        <f t="shared" ref="E120:E136" si="41">SUMIF($D$49:$D$101,D120,$Q$49:$Q$103)</f>
        <v>0</v>
      </c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3"/>
      <c r="T120" s="97"/>
      <c r="U120" s="71"/>
      <c r="V120" s="71"/>
    </row>
    <row r="121" spans="2:22" ht="15.5">
      <c r="B121" s="20"/>
      <c r="C121" s="66" t="s">
        <v>117</v>
      </c>
      <c r="D121" s="133" t="s">
        <v>62</v>
      </c>
      <c r="E121" s="134">
        <f t="shared" si="41"/>
        <v>0</v>
      </c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3"/>
      <c r="T121" s="97"/>
      <c r="U121" s="71"/>
      <c r="V121" s="71"/>
    </row>
    <row r="122" spans="2:22" ht="15.5">
      <c r="B122" s="20"/>
      <c r="C122" s="66" t="s">
        <v>118</v>
      </c>
      <c r="D122" s="133" t="s">
        <v>64</v>
      </c>
      <c r="E122" s="134">
        <f t="shared" si="41"/>
        <v>0</v>
      </c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3"/>
      <c r="T122" s="97"/>
      <c r="U122" s="71"/>
      <c r="V122" s="71"/>
    </row>
    <row r="123" spans="2:22" ht="15.5">
      <c r="B123" s="20"/>
      <c r="C123" s="66" t="s">
        <v>119</v>
      </c>
      <c r="D123" s="133" t="s">
        <v>79</v>
      </c>
      <c r="E123" s="134">
        <f t="shared" si="41"/>
        <v>0</v>
      </c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3"/>
      <c r="T123" s="97"/>
      <c r="U123" s="71"/>
      <c r="V123" s="71"/>
    </row>
    <row r="124" spans="2:22" ht="15.5">
      <c r="B124" s="20"/>
      <c r="C124" s="66" t="s">
        <v>120</v>
      </c>
      <c r="D124" s="133" t="s">
        <v>80</v>
      </c>
      <c r="E124" s="134">
        <f t="shared" si="41"/>
        <v>0</v>
      </c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3"/>
      <c r="T124" s="97"/>
      <c r="U124" s="71"/>
      <c r="V124" s="71"/>
    </row>
    <row r="125" spans="2:22" ht="15.5">
      <c r="B125" s="20"/>
      <c r="C125" s="66" t="s">
        <v>137</v>
      </c>
      <c r="D125" s="133" t="s">
        <v>136</v>
      </c>
      <c r="E125" s="134">
        <f t="shared" si="41"/>
        <v>0</v>
      </c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3"/>
      <c r="T125" s="97"/>
      <c r="U125" s="71"/>
      <c r="V125" s="71"/>
    </row>
    <row r="126" spans="2:22" ht="15.5">
      <c r="B126" s="20"/>
      <c r="C126" s="66" t="s">
        <v>121</v>
      </c>
      <c r="D126" s="133" t="s">
        <v>113</v>
      </c>
      <c r="E126" s="134">
        <f t="shared" si="41"/>
        <v>0</v>
      </c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3"/>
      <c r="T126" s="97"/>
      <c r="U126" s="71"/>
      <c r="V126" s="71"/>
    </row>
    <row r="127" spans="2:22" ht="15.5">
      <c r="B127" s="20"/>
      <c r="C127" s="66" t="s">
        <v>122</v>
      </c>
      <c r="D127" s="133" t="s">
        <v>112</v>
      </c>
      <c r="E127" s="134">
        <f t="shared" si="41"/>
        <v>0</v>
      </c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3"/>
      <c r="T127" s="97"/>
      <c r="U127" s="71"/>
      <c r="V127" s="71"/>
    </row>
    <row r="128" spans="2:22" ht="15.5">
      <c r="B128" s="20"/>
      <c r="C128" s="66" t="s">
        <v>123</v>
      </c>
      <c r="D128" s="133" t="s">
        <v>111</v>
      </c>
      <c r="E128" s="135">
        <f t="shared" si="41"/>
        <v>0</v>
      </c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3"/>
      <c r="T128" s="97"/>
      <c r="U128" s="71"/>
      <c r="V128" s="71"/>
    </row>
    <row r="129" spans="2:22" ht="15.5">
      <c r="B129" s="20"/>
      <c r="C129" s="67" t="s">
        <v>124</v>
      </c>
      <c r="D129" s="136" t="s">
        <v>81</v>
      </c>
      <c r="E129" s="135">
        <f t="shared" si="41"/>
        <v>0</v>
      </c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97"/>
      <c r="U129" s="71"/>
      <c r="V129" s="71"/>
    </row>
    <row r="130" spans="2:22" ht="15.5">
      <c r="B130" s="20"/>
      <c r="C130" s="67" t="s">
        <v>125</v>
      </c>
      <c r="D130" s="136" t="s">
        <v>65</v>
      </c>
      <c r="E130" s="135">
        <f t="shared" si="41"/>
        <v>0</v>
      </c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97"/>
      <c r="U130" s="71"/>
      <c r="V130" s="71"/>
    </row>
    <row r="131" spans="2:22" ht="15.5">
      <c r="B131" s="20"/>
      <c r="C131" s="67" t="s">
        <v>210</v>
      </c>
      <c r="D131" s="136" t="s">
        <v>211</v>
      </c>
      <c r="E131" s="135">
        <f t="shared" si="41"/>
        <v>0</v>
      </c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97"/>
      <c r="U131" s="71"/>
      <c r="V131" s="71"/>
    </row>
    <row r="132" spans="2:22" ht="15.5">
      <c r="B132" s="20"/>
      <c r="C132" s="67" t="s">
        <v>108</v>
      </c>
      <c r="D132" s="136" t="s">
        <v>109</v>
      </c>
      <c r="E132" s="135">
        <f t="shared" si="41"/>
        <v>0</v>
      </c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97"/>
      <c r="U132" s="71"/>
      <c r="V132" s="71"/>
    </row>
    <row r="133" spans="2:22" ht="15.5">
      <c r="B133" s="20"/>
      <c r="C133" s="67" t="s">
        <v>126</v>
      </c>
      <c r="D133" s="136" t="s">
        <v>127</v>
      </c>
      <c r="E133" s="135">
        <f t="shared" si="41"/>
        <v>0</v>
      </c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97"/>
      <c r="U133" s="71"/>
      <c r="V133" s="71"/>
    </row>
    <row r="134" spans="2:22" ht="15.5">
      <c r="B134" s="20"/>
      <c r="C134" s="67" t="s">
        <v>1182</v>
      </c>
      <c r="D134" s="136" t="s">
        <v>1180</v>
      </c>
      <c r="E134" s="135">
        <f t="shared" si="41"/>
        <v>0</v>
      </c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97"/>
      <c r="U134" s="71"/>
      <c r="V134" s="71"/>
    </row>
    <row r="135" spans="2:22" ht="15.5">
      <c r="B135" s="20"/>
      <c r="C135" s="67" t="s">
        <v>1181</v>
      </c>
      <c r="D135" s="136" t="s">
        <v>1179</v>
      </c>
      <c r="E135" s="135">
        <f t="shared" si="41"/>
        <v>0</v>
      </c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97"/>
      <c r="U135" s="71"/>
      <c r="V135" s="71"/>
    </row>
    <row r="136" spans="2:22" ht="16" thickBot="1">
      <c r="B136" s="20"/>
      <c r="C136" s="68" t="s">
        <v>128</v>
      </c>
      <c r="D136" s="137" t="s">
        <v>93</v>
      </c>
      <c r="E136" s="138">
        <f t="shared" si="41"/>
        <v>0</v>
      </c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97"/>
      <c r="U136" s="71"/>
      <c r="V136" s="71"/>
    </row>
    <row r="137" spans="2:22">
      <c r="B137" s="20"/>
      <c r="C137" s="156"/>
      <c r="D137" s="153"/>
      <c r="E137" s="153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97"/>
      <c r="U137" s="71"/>
      <c r="V137" s="71"/>
    </row>
    <row r="138" spans="2:22" ht="15" thickBot="1">
      <c r="B138" s="29"/>
      <c r="C138" s="30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40"/>
      <c r="U138" s="71"/>
      <c r="V138" s="71"/>
    </row>
    <row r="139" spans="2:22">
      <c r="D139" s="37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2:22">
      <c r="D140" s="37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2:22" hidden="1"/>
    <row r="142" spans="2:22" ht="15" hidden="1" thickBot="1">
      <c r="D142" s="12"/>
    </row>
    <row r="143" spans="2:22" hidden="1">
      <c r="B143" s="15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9"/>
    </row>
    <row r="144" spans="2:22" ht="18.5" hidden="1">
      <c r="B144" s="20"/>
      <c r="C144" s="14" t="s">
        <v>82</v>
      </c>
      <c r="D144" s="40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28"/>
      <c r="S144" s="21"/>
    </row>
    <row r="145" spans="1:19" ht="18.5" hidden="1">
      <c r="B145" s="20"/>
      <c r="C145" s="14"/>
      <c r="D145" s="409" t="s">
        <v>58</v>
      </c>
      <c r="E145" s="34">
        <v>44287</v>
      </c>
      <c r="F145" s="34">
        <v>44317</v>
      </c>
      <c r="G145" s="34">
        <v>44348</v>
      </c>
      <c r="H145" s="34">
        <v>44378</v>
      </c>
      <c r="I145" s="34">
        <v>44409</v>
      </c>
      <c r="J145" s="34">
        <v>44440</v>
      </c>
      <c r="K145" s="34">
        <v>44470</v>
      </c>
      <c r="L145" s="34">
        <v>44501</v>
      </c>
      <c r="M145" s="34">
        <v>44531</v>
      </c>
      <c r="N145" s="34">
        <v>44562</v>
      </c>
      <c r="O145" s="34">
        <v>44593</v>
      </c>
      <c r="P145" s="34">
        <v>44621</v>
      </c>
      <c r="Q145" s="34"/>
      <c r="R145" s="23" t="s">
        <v>48</v>
      </c>
      <c r="S145" s="21"/>
    </row>
    <row r="146" spans="1:19" ht="15.5" hidden="1">
      <c r="B146" s="20"/>
      <c r="D146" s="410"/>
      <c r="E146" s="34" t="s">
        <v>68</v>
      </c>
      <c r="F146" s="34" t="s">
        <v>68</v>
      </c>
      <c r="G146" s="34" t="s">
        <v>83</v>
      </c>
      <c r="H146" s="34" t="s">
        <v>68</v>
      </c>
      <c r="I146" s="34" t="s">
        <v>68</v>
      </c>
      <c r="J146" s="34" t="s">
        <v>68</v>
      </c>
      <c r="K146" s="34" t="s">
        <v>68</v>
      </c>
      <c r="L146" s="34" t="s">
        <v>68</v>
      </c>
      <c r="M146" s="34" t="s">
        <v>68</v>
      </c>
      <c r="N146" s="34" t="s">
        <v>68</v>
      </c>
      <c r="O146" s="34" t="s">
        <v>68</v>
      </c>
      <c r="P146" s="34" t="s">
        <v>68</v>
      </c>
      <c r="Q146" s="34"/>
      <c r="R146" s="23"/>
      <c r="S146" s="21"/>
    </row>
    <row r="147" spans="1:19" ht="15.5" hidden="1">
      <c r="A147" t="s">
        <v>84</v>
      </c>
      <c r="B147" s="20"/>
      <c r="C147" s="24"/>
      <c r="D147" s="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24"/>
      <c r="R147" s="39"/>
      <c r="S147" s="21"/>
    </row>
    <row r="148" spans="1:19" ht="15.5" hidden="1">
      <c r="B148" s="20"/>
      <c r="C148" s="4"/>
      <c r="D148" s="4"/>
      <c r="E148" s="35"/>
      <c r="F148" s="35"/>
      <c r="G148" s="35"/>
      <c r="H148" s="35"/>
      <c r="I148" s="35"/>
      <c r="J148" s="41"/>
      <c r="K148" s="35"/>
      <c r="L148" s="35"/>
      <c r="M148" s="35"/>
      <c r="N148" s="35"/>
      <c r="O148" s="35"/>
      <c r="P148" s="35"/>
      <c r="Q148" s="24"/>
      <c r="R148" s="39"/>
      <c r="S148" s="21"/>
    </row>
    <row r="149" spans="1:19" ht="15.5" hidden="1">
      <c r="B149" s="20"/>
      <c r="C149" s="4"/>
      <c r="D149" s="4"/>
      <c r="E149" s="35"/>
      <c r="F149" s="35"/>
      <c r="G149" s="35"/>
      <c r="H149" s="35"/>
      <c r="I149" s="35"/>
      <c r="J149" s="41"/>
      <c r="K149" s="35"/>
      <c r="L149" s="35"/>
      <c r="M149" s="35"/>
      <c r="N149" s="35"/>
      <c r="O149" s="35"/>
      <c r="P149" s="35"/>
      <c r="Q149" s="24"/>
      <c r="R149" s="39"/>
      <c r="S149" s="21"/>
    </row>
    <row r="150" spans="1:19" ht="15.5" hidden="1">
      <c r="B150" s="20"/>
      <c r="C150" s="4"/>
      <c r="D150" s="4"/>
      <c r="E150" s="35"/>
      <c r="F150" s="35"/>
      <c r="G150" s="35"/>
      <c r="H150" s="35"/>
      <c r="I150" s="35"/>
      <c r="J150" s="36"/>
      <c r="K150" s="35"/>
      <c r="L150" s="35"/>
      <c r="M150" s="35"/>
      <c r="N150" s="35"/>
      <c r="O150" s="35"/>
      <c r="P150" s="35"/>
      <c r="Q150" s="24"/>
      <c r="R150" s="39"/>
      <c r="S150" s="21"/>
    </row>
    <row r="151" spans="1:19" ht="15.5" hidden="1">
      <c r="B151" s="20"/>
      <c r="C151" s="4"/>
      <c r="D151" s="4"/>
      <c r="E151" s="24"/>
      <c r="F151" s="24"/>
      <c r="G151" s="24"/>
      <c r="H151" s="24"/>
      <c r="I151" s="24"/>
      <c r="J151" s="24"/>
      <c r="K151" s="35"/>
      <c r="L151" s="24"/>
      <c r="M151" s="24"/>
      <c r="N151" s="24"/>
      <c r="O151" s="24"/>
      <c r="P151" s="24"/>
      <c r="Q151" s="24"/>
      <c r="R151" s="39"/>
      <c r="S151" s="21"/>
    </row>
    <row r="152" spans="1:19" ht="15.5" hidden="1">
      <c r="B152" s="20"/>
      <c r="C152" s="4"/>
      <c r="D152" s="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1"/>
    </row>
    <row r="153" spans="1:19" ht="18.5" hidden="1">
      <c r="B153" s="20"/>
      <c r="C153" s="42" t="s">
        <v>48</v>
      </c>
      <c r="D153" s="7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21"/>
    </row>
    <row r="154" spans="1:19" ht="15" hidden="1" thickBot="1">
      <c r="B154" s="29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1"/>
    </row>
    <row r="155" spans="1:19" hidden="1"/>
  </sheetData>
  <mergeCells count="3">
    <mergeCell ref="D47:D48"/>
    <mergeCell ref="D145:D146"/>
    <mergeCell ref="C108:D108"/>
  </mergeCells>
  <phoneticPr fontId="97" type="noConversion"/>
  <conditionalFormatting sqref="D14:S34 D35:R41 D42:S76 D77:I78 K77:S78 D79:S105 F106:S106 F108:S128 D112:E136">
    <cfRule type="cellIs" dxfId="36" priority="16" operator="lessThan">
      <formula>0</formula>
    </cfRule>
  </conditionalFormatting>
  <conditionalFormatting sqref="D13:V32 D33:U34 D35:V76 D77:I78 K77:V78 D79:V105 F106:V106 T107:V107 F108:V137 D112:E137 D138:V138">
    <cfRule type="cellIs" dxfId="35" priority="6" operator="equal">
      <formula>0</formula>
    </cfRule>
  </conditionalFormatting>
  <conditionalFormatting sqref="E107:Q107">
    <cfRule type="cellIs" dxfId="34" priority="1" operator="equal">
      <formula>0</formula>
    </cfRule>
    <cfRule type="cellIs" dxfId="33" priority="2" operator="lessThan">
      <formula>0</formula>
    </cfRule>
  </conditionalFormatting>
  <conditionalFormatting sqref="E104:S104">
    <cfRule type="cellIs" dxfId="32" priority="17" operator="notEqual">
      <formula>0</formula>
    </cfRule>
  </conditionalFormatting>
  <conditionalFormatting sqref="G69:Q69 E71:R71">
    <cfRule type="cellIs" dxfId="31" priority="38" operator="lessThan">
      <formula>0</formula>
    </cfRule>
  </conditionalFormatting>
  <conditionalFormatting sqref="S35:S41">
    <cfRule type="cellIs" dxfId="30" priority="14" operator="equal">
      <formula>0</formula>
    </cfRule>
    <cfRule type="expression" dxfId="29" priority="15">
      <formula>0</formula>
    </cfRule>
  </conditionalFormatting>
  <conditionalFormatting sqref="S105 V69:V70">
    <cfRule type="containsText" dxfId="28" priority="30" operator="containsText" text="False">
      <formula>NOT(ISERROR(SEARCH("False",S69)))</formula>
    </cfRule>
  </conditionalFormatting>
  <conditionalFormatting sqref="U7:X9 AH10:AK27 AH29:AK42 U43:X44 V45:Y51 V53:Y63 V65:Y68 W69:Y71 X72:Y86 V79:Y103 W104:Y104 V105:Y138 U139:X139">
    <cfRule type="expression" dxfId="27" priority="47">
      <formula>0</formula>
    </cfRule>
  </conditionalFormatting>
  <conditionalFormatting sqref="U28:X28 U53:X63 U65:X68 W69:X70 U69:U86 V72:V86 U87:X87 V89:V93 V97:V101 U100:Y100">
    <cfRule type="cellIs" dxfId="26" priority="3" operator="equal">
      <formula>0</formula>
    </cfRule>
  </conditionalFormatting>
  <conditionalFormatting sqref="U48:X51 U104 W104:Y104">
    <cfRule type="cellIs" dxfId="25" priority="20" operator="equal">
      <formula>0</formula>
    </cfRule>
  </conditionalFormatting>
  <conditionalFormatting sqref="V71:V86">
    <cfRule type="expression" dxfId="24" priority="13">
      <formula>0</formula>
    </cfRule>
  </conditionalFormatting>
  <conditionalFormatting sqref="V28:Y28">
    <cfRule type="expression" dxfId="23" priority="5">
      <formula>0</formula>
    </cfRule>
  </conditionalFormatting>
  <conditionalFormatting sqref="W69:W71 V72:V86 W100">
    <cfRule type="cellIs" dxfId="22" priority="42" operator="between">
      <formula>0.09999999999</formula>
      <formula>-1</formula>
    </cfRule>
  </conditionalFormatting>
  <conditionalFormatting sqref="W104">
    <cfRule type="cellIs" dxfId="21" priority="18" operator="between">
      <formula>0.09999999999</formula>
      <formula>-1</formula>
    </cfRule>
  </conditionalFormatting>
  <conditionalFormatting sqref="W28:X28 W98:X100 W87:X96 W65:X71 W53:X63">
    <cfRule type="colorScale" priority="4">
      <colorScale>
        <cfvo type="num" val="&quot;&lt;0&quot;"/>
        <cfvo type="num" val="0"/>
        <color theme="1"/>
        <color theme="0"/>
      </colorScale>
    </cfRule>
  </conditionalFormatting>
  <conditionalFormatting sqref="W69:X71 V72:V86 X72:X86 W100:X100">
    <cfRule type="cellIs" dxfId="20" priority="43" operator="between">
      <formula>0.00999999999</formula>
      <formula>0</formula>
    </cfRule>
  </conditionalFormatting>
  <conditionalFormatting sqref="W104:X104">
    <cfRule type="cellIs" dxfId="19" priority="19" operator="between">
      <formula>0.00999999999</formula>
      <formula>0</formula>
    </cfRule>
    <cfRule type="colorScale" priority="21">
      <colorScale>
        <cfvo type="num" val="&quot;&lt;0&quot;"/>
        <cfvo type="num" val="0"/>
        <color theme="1"/>
        <color theme="0"/>
      </colorScale>
    </cfRule>
  </conditionalFormatting>
  <conditionalFormatting sqref="W71:Y71 X72:Y86">
    <cfRule type="cellIs" dxfId="18" priority="45" operator="equal">
      <formula>0</formula>
    </cfRule>
  </conditionalFormatting>
  <conditionalFormatting sqref="X72:X86 V72:V86 W47:X51">
    <cfRule type="colorScale" priority="46">
      <colorScale>
        <cfvo type="num" val="&quot;&lt;0&quot;"/>
        <cfvo type="num" val="0"/>
        <color theme="1"/>
        <color theme="0"/>
      </colorScale>
    </cfRule>
  </conditionalFormatting>
  <conditionalFormatting sqref="AH52:AK52">
    <cfRule type="expression" dxfId="17" priority="9">
      <formula>0</formula>
    </cfRule>
  </conditionalFormatting>
  <conditionalFormatting sqref="AH64:AK67">
    <cfRule type="expression" dxfId="16" priority="8">
      <formula>0</formula>
    </cfRule>
  </conditionalFormatting>
  <hyperlinks>
    <hyperlink ref="C80" r:id="rId1" xr:uid="{4CCB3455-5CF0-4E91-B1C6-690E016E4612}"/>
    <hyperlink ref="C81" r:id="rId2" xr:uid="{721427D9-F38B-4CBC-A1E4-C10959FAB220}"/>
    <hyperlink ref="C88" r:id="rId3" xr:uid="{24133DCE-B348-4591-B4A2-9B06C503DCAB}"/>
    <hyperlink ref="C94" r:id="rId4" xr:uid="{E46CAF17-B883-4F0A-8E13-0D40CDDE1615}"/>
    <hyperlink ref="C97" r:id="rId5" xr:uid="{ABE68501-6044-4164-B8E4-C545110D2843}"/>
    <hyperlink ref="C87" r:id="rId6" xr:uid="{B3BB876E-9F06-43E8-86CA-235A3DAD578C}"/>
    <hyperlink ref="C96" r:id="rId7" xr:uid="{1CDB262C-D963-4DCD-B591-20C568CA94E2}"/>
    <hyperlink ref="C98" r:id="rId8" xr:uid="{5A39BFDD-5FD1-4687-8FD2-7CB70797FE3D}"/>
    <hyperlink ref="C99" r:id="rId9" xr:uid="{4B4364C1-042C-4AED-ADCE-691973385024}"/>
    <hyperlink ref="C92" r:id="rId10" xr:uid="{35F6E6AD-1429-41CC-B5FB-98C1DE7A5573}"/>
    <hyperlink ref="C82" r:id="rId11" xr:uid="{4D74BE08-740B-4923-BCCE-895B32C40E46}"/>
    <hyperlink ref="C83" r:id="rId12" display="Teaches' Pension Employer Contribution Grant" xr:uid="{53B3AB0C-FB81-403F-8648-B6B6DA2C97D3}"/>
    <hyperlink ref="C84" r:id="rId13" display="Teachers' pay additional grant" xr:uid="{208A51AC-FDDC-49C2-8EC3-DF5D3B0195E0}"/>
  </hyperlinks>
  <pageMargins left="0.25" right="0.25" top="0.75" bottom="0.75" header="0.3" footer="0.3"/>
  <pageSetup paperSize="9" scale="20" orientation="landscape" r:id="rId14"/>
  <headerFooter>
    <oddFooter>&amp;C_x000D_&amp;1#&amp;"Calibri"&amp;10&amp;K000000 OFFICIAL</oddFooter>
  </headerFooter>
  <ignoredErrors>
    <ignoredError sqref="Q29" formula="1"/>
  </ignoredErrors>
  <drawing r:id="rId1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648D8B-3AFE-48C9-9B7C-27B283388069}">
          <x14:formula1>
            <xm:f>Lookup!$A$2:$A$211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1AC25-0319-43A5-9108-6C8C7348D185}">
  <dimension ref="A1:FC228"/>
  <sheetViews>
    <sheetView topLeftCell="F1" zoomScale="80" zoomScaleNormal="80" workbookViewId="0">
      <selection activeCell="A2" sqref="A2:AS2"/>
    </sheetView>
  </sheetViews>
  <sheetFormatPr defaultRowHeight="14.5"/>
  <cols>
    <col min="1" max="1" width="6.54296875" customWidth="1"/>
    <col min="2" max="2" width="7.7265625" bestFit="1" customWidth="1"/>
    <col min="3" max="3" width="11" bestFit="1" customWidth="1"/>
    <col min="4" max="4" width="66.26953125" customWidth="1"/>
    <col min="5" max="5" width="17" bestFit="1" customWidth="1"/>
    <col min="6" max="6" width="14.54296875" bestFit="1" customWidth="1"/>
    <col min="7" max="39" width="14.7265625" customWidth="1"/>
    <col min="40" max="40" width="16.26953125" bestFit="1" customWidth="1"/>
    <col min="41" max="41" width="3.26953125" bestFit="1" customWidth="1"/>
    <col min="42" max="51" width="14.7265625" customWidth="1"/>
  </cols>
  <sheetData>
    <row r="1" spans="1:159">
      <c r="A1" s="1" t="s">
        <v>1106</v>
      </c>
      <c r="B1" s="1"/>
    </row>
    <row r="2" spans="1:159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  <c r="AC2">
        <v>29</v>
      </c>
      <c r="AD2">
        <v>30</v>
      </c>
      <c r="AE2">
        <v>31</v>
      </c>
      <c r="AF2">
        <v>32</v>
      </c>
      <c r="AG2">
        <v>33</v>
      </c>
      <c r="AH2">
        <v>34</v>
      </c>
      <c r="AI2">
        <v>35</v>
      </c>
      <c r="AJ2">
        <v>36</v>
      </c>
      <c r="AK2">
        <v>37</v>
      </c>
      <c r="AL2">
        <v>38</v>
      </c>
      <c r="AM2">
        <v>39</v>
      </c>
      <c r="AN2">
        <v>40</v>
      </c>
      <c r="AO2">
        <v>41</v>
      </c>
      <c r="AP2">
        <v>42</v>
      </c>
      <c r="AQ2">
        <v>43</v>
      </c>
      <c r="AR2">
        <v>44</v>
      </c>
      <c r="AS2">
        <v>45</v>
      </c>
      <c r="AT2">
        <v>51</v>
      </c>
      <c r="AU2">
        <v>52</v>
      </c>
      <c r="AV2">
        <v>53</v>
      </c>
      <c r="AW2">
        <v>54</v>
      </c>
      <c r="AX2">
        <v>55</v>
      </c>
      <c r="AY2">
        <v>56</v>
      </c>
      <c r="AZ2">
        <v>57</v>
      </c>
      <c r="BA2">
        <v>58</v>
      </c>
      <c r="BB2">
        <v>59</v>
      </c>
      <c r="BC2">
        <v>60</v>
      </c>
      <c r="BD2">
        <v>61</v>
      </c>
      <c r="BE2">
        <v>62</v>
      </c>
      <c r="BF2">
        <v>63</v>
      </c>
      <c r="BG2">
        <v>64</v>
      </c>
      <c r="BH2">
        <v>65</v>
      </c>
      <c r="BI2">
        <v>66</v>
      </c>
      <c r="BJ2">
        <v>67</v>
      </c>
      <c r="BK2">
        <v>68</v>
      </c>
      <c r="BL2">
        <v>69</v>
      </c>
      <c r="BM2">
        <v>70</v>
      </c>
      <c r="BN2">
        <v>71</v>
      </c>
      <c r="BO2">
        <v>72</v>
      </c>
      <c r="BP2">
        <v>73</v>
      </c>
      <c r="BQ2">
        <v>74</v>
      </c>
      <c r="BR2">
        <v>75</v>
      </c>
      <c r="BS2">
        <v>76</v>
      </c>
      <c r="BT2">
        <v>77</v>
      </c>
      <c r="BU2">
        <v>78</v>
      </c>
      <c r="BV2">
        <v>79</v>
      </c>
      <c r="BW2">
        <v>80</v>
      </c>
      <c r="BX2">
        <v>81</v>
      </c>
      <c r="BY2">
        <v>82</v>
      </c>
      <c r="BZ2">
        <v>83</v>
      </c>
      <c r="CA2">
        <v>84</v>
      </c>
      <c r="CB2">
        <v>85</v>
      </c>
      <c r="CC2">
        <v>86</v>
      </c>
      <c r="CD2">
        <v>87</v>
      </c>
      <c r="CE2">
        <v>88</v>
      </c>
      <c r="CF2">
        <v>89</v>
      </c>
      <c r="CG2">
        <v>90</v>
      </c>
      <c r="CH2">
        <v>91</v>
      </c>
      <c r="CI2">
        <v>92</v>
      </c>
      <c r="CJ2">
        <v>93</v>
      </c>
      <c r="CK2">
        <v>94</v>
      </c>
      <c r="CL2">
        <v>95</v>
      </c>
      <c r="CM2">
        <v>96</v>
      </c>
      <c r="CN2">
        <v>97</v>
      </c>
      <c r="CO2">
        <v>98</v>
      </c>
      <c r="CP2">
        <v>99</v>
      </c>
      <c r="CQ2">
        <v>100</v>
      </c>
      <c r="CR2">
        <v>101</v>
      </c>
      <c r="CS2">
        <v>102</v>
      </c>
      <c r="CT2">
        <v>103</v>
      </c>
      <c r="CU2">
        <v>104</v>
      </c>
      <c r="CV2">
        <v>105</v>
      </c>
      <c r="CW2">
        <v>106</v>
      </c>
      <c r="CX2">
        <v>107</v>
      </c>
      <c r="CY2">
        <v>108</v>
      </c>
      <c r="CZ2">
        <v>109</v>
      </c>
      <c r="DA2">
        <v>110</v>
      </c>
      <c r="DB2">
        <v>111</v>
      </c>
      <c r="DC2">
        <v>112</v>
      </c>
      <c r="DD2">
        <v>113</v>
      </c>
      <c r="DE2">
        <v>114</v>
      </c>
      <c r="DF2">
        <v>115</v>
      </c>
      <c r="DG2">
        <v>116</v>
      </c>
      <c r="DH2">
        <v>117</v>
      </c>
      <c r="DI2">
        <v>118</v>
      </c>
      <c r="DJ2">
        <v>119</v>
      </c>
      <c r="DK2">
        <v>120</v>
      </c>
      <c r="DL2">
        <v>121</v>
      </c>
      <c r="DM2">
        <v>122</v>
      </c>
      <c r="DN2">
        <v>123</v>
      </c>
      <c r="DO2">
        <v>124</v>
      </c>
      <c r="DP2">
        <v>125</v>
      </c>
      <c r="DQ2">
        <v>126</v>
      </c>
      <c r="DR2">
        <v>127</v>
      </c>
      <c r="DS2">
        <v>128</v>
      </c>
      <c r="DT2">
        <v>129</v>
      </c>
      <c r="DU2">
        <v>130</v>
      </c>
      <c r="DV2">
        <v>131</v>
      </c>
      <c r="DW2">
        <v>132</v>
      </c>
      <c r="DX2">
        <v>133</v>
      </c>
      <c r="DY2">
        <v>134</v>
      </c>
      <c r="DZ2">
        <v>135</v>
      </c>
      <c r="EA2">
        <v>136</v>
      </c>
      <c r="EB2">
        <v>137</v>
      </c>
      <c r="EC2">
        <v>138</v>
      </c>
      <c r="ED2">
        <v>139</v>
      </c>
      <c r="EE2">
        <v>140</v>
      </c>
      <c r="EF2">
        <v>141</v>
      </c>
      <c r="EG2">
        <v>142</v>
      </c>
      <c r="EH2">
        <v>143</v>
      </c>
      <c r="EI2">
        <v>144</v>
      </c>
      <c r="EJ2">
        <v>145</v>
      </c>
      <c r="EK2">
        <v>146</v>
      </c>
      <c r="EL2">
        <v>147</v>
      </c>
      <c r="EM2">
        <v>148</v>
      </c>
      <c r="EN2">
        <v>149</v>
      </c>
      <c r="EO2">
        <v>150</v>
      </c>
      <c r="EP2">
        <v>151</v>
      </c>
      <c r="EQ2">
        <v>152</v>
      </c>
      <c r="ER2">
        <v>153</v>
      </c>
      <c r="ES2">
        <v>154</v>
      </c>
      <c r="ET2">
        <v>155</v>
      </c>
      <c r="EU2">
        <v>156</v>
      </c>
      <c r="EV2">
        <v>157</v>
      </c>
      <c r="EW2">
        <v>158</v>
      </c>
      <c r="EX2">
        <v>159</v>
      </c>
      <c r="EY2">
        <v>160</v>
      </c>
      <c r="EZ2">
        <v>161</v>
      </c>
      <c r="FA2">
        <v>162</v>
      </c>
      <c r="FB2">
        <v>163</v>
      </c>
      <c r="FC2">
        <v>164</v>
      </c>
    </row>
    <row r="3" spans="1:159">
      <c r="G3" s="72" t="s">
        <v>110</v>
      </c>
      <c r="H3" s="4" t="s">
        <v>111</v>
      </c>
      <c r="I3" s="4" t="s">
        <v>61</v>
      </c>
      <c r="J3" s="4" t="s">
        <v>61</v>
      </c>
      <c r="K3" s="4" t="s">
        <v>112</v>
      </c>
      <c r="L3" s="4" t="s">
        <v>80</v>
      </c>
      <c r="M3" s="4" t="s">
        <v>61</v>
      </c>
      <c r="N3" s="4" t="s">
        <v>80</v>
      </c>
      <c r="O3" s="4" t="s">
        <v>112</v>
      </c>
      <c r="P3" s="4" t="s">
        <v>80</v>
      </c>
      <c r="Q3" s="4" t="s">
        <v>111</v>
      </c>
      <c r="R3" s="4" t="s">
        <v>79</v>
      </c>
      <c r="S3" s="4" t="s">
        <v>112</v>
      </c>
      <c r="T3" s="4" t="s">
        <v>80</v>
      </c>
      <c r="U3" s="4" t="s">
        <v>61</v>
      </c>
      <c r="V3" s="4" t="s">
        <v>61</v>
      </c>
      <c r="W3" s="4" t="s">
        <v>61</v>
      </c>
      <c r="X3" s="4" t="s">
        <v>111</v>
      </c>
      <c r="Y3" s="4" t="s">
        <v>111</v>
      </c>
      <c r="Z3" s="4" t="s">
        <v>61</v>
      </c>
      <c r="AA3" s="4" t="s">
        <v>61</v>
      </c>
      <c r="AB3" s="4" t="s">
        <v>80</v>
      </c>
      <c r="AC3" s="4" t="s">
        <v>136</v>
      </c>
      <c r="AD3" s="4" t="s">
        <v>79</v>
      </c>
      <c r="AE3" s="4" t="s">
        <v>62</v>
      </c>
      <c r="AF3" s="4" t="s">
        <v>80</v>
      </c>
      <c r="AG3" s="4" t="s">
        <v>79</v>
      </c>
      <c r="AH3" s="4" t="s">
        <v>112</v>
      </c>
      <c r="AI3" s="4" t="s">
        <v>112</v>
      </c>
      <c r="AJ3" s="4" t="s">
        <v>79</v>
      </c>
      <c r="AK3" s="4" t="s">
        <v>112</v>
      </c>
      <c r="AL3" s="4" t="s">
        <v>61</v>
      </c>
      <c r="AM3" s="4" t="s">
        <v>61</v>
      </c>
      <c r="AN3" s="4"/>
    </row>
    <row r="4" spans="1:159">
      <c r="G4" s="72" t="s">
        <v>858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159" ht="15" thickBot="1">
      <c r="H5" t="s">
        <v>1190</v>
      </c>
      <c r="I5" t="s">
        <v>1190</v>
      </c>
      <c r="J5" t="s">
        <v>1190</v>
      </c>
      <c r="K5" t="s">
        <v>1190</v>
      </c>
      <c r="L5" t="s">
        <v>1190</v>
      </c>
      <c r="M5" t="s">
        <v>1190</v>
      </c>
      <c r="N5" t="s">
        <v>1190</v>
      </c>
      <c r="O5" t="s">
        <v>1190</v>
      </c>
      <c r="P5" t="s">
        <v>1190</v>
      </c>
      <c r="Q5" t="s">
        <v>1190</v>
      </c>
      <c r="R5" t="s">
        <v>1190</v>
      </c>
      <c r="S5" t="s">
        <v>1190</v>
      </c>
      <c r="T5" t="s">
        <v>1190</v>
      </c>
      <c r="U5" t="s">
        <v>1190</v>
      </c>
      <c r="V5" t="s">
        <v>1190</v>
      </c>
      <c r="W5" t="s">
        <v>1190</v>
      </c>
      <c r="X5" t="s">
        <v>1190</v>
      </c>
    </row>
    <row r="6" spans="1:159" ht="58.5" thickBot="1">
      <c r="A6" s="196" t="s">
        <v>0</v>
      </c>
      <c r="B6" s="197" t="s">
        <v>7</v>
      </c>
      <c r="C6" s="198" t="s">
        <v>1</v>
      </c>
      <c r="D6" s="199" t="s">
        <v>2</v>
      </c>
      <c r="E6" s="228" t="s">
        <v>1091</v>
      </c>
      <c r="F6" s="199" t="s">
        <v>1092</v>
      </c>
      <c r="G6" s="241"/>
      <c r="H6" s="246" t="s">
        <v>859</v>
      </c>
      <c r="I6" s="200" t="s">
        <v>1186</v>
      </c>
      <c r="J6" s="200" t="s">
        <v>147</v>
      </c>
      <c r="K6" s="200" t="s">
        <v>860</v>
      </c>
      <c r="L6" s="200" t="s">
        <v>861</v>
      </c>
      <c r="M6" s="200" t="s">
        <v>1185</v>
      </c>
      <c r="N6" s="200" t="s">
        <v>1107</v>
      </c>
      <c r="O6" s="200" t="s">
        <v>1192</v>
      </c>
      <c r="P6" s="200" t="s">
        <v>1193</v>
      </c>
      <c r="Q6" s="200" t="s">
        <v>1197</v>
      </c>
      <c r="R6" s="200" t="s">
        <v>1196</v>
      </c>
      <c r="S6" s="200" t="s">
        <v>1198</v>
      </c>
      <c r="T6" s="200" t="s">
        <v>142</v>
      </c>
      <c r="U6" s="200" t="s">
        <v>1206</v>
      </c>
      <c r="V6" s="200" t="s">
        <v>1209</v>
      </c>
      <c r="W6" s="200" t="s">
        <v>1225</v>
      </c>
      <c r="X6" s="200" t="s">
        <v>1201</v>
      </c>
      <c r="Y6" s="198" t="s">
        <v>148</v>
      </c>
      <c r="Z6" s="198" t="s">
        <v>150</v>
      </c>
      <c r="AA6" s="198" t="s">
        <v>149</v>
      </c>
      <c r="AB6" s="198" t="s">
        <v>143</v>
      </c>
      <c r="AC6" s="198" t="s">
        <v>137</v>
      </c>
      <c r="AD6" s="198" t="s">
        <v>138</v>
      </c>
      <c r="AE6" s="198" t="s">
        <v>139</v>
      </c>
      <c r="AF6" s="198" t="s">
        <v>144</v>
      </c>
      <c r="AG6" s="198" t="s">
        <v>140</v>
      </c>
      <c r="AH6" s="198" t="s">
        <v>145</v>
      </c>
      <c r="AI6" s="198" t="s">
        <v>146</v>
      </c>
      <c r="AJ6" s="198" t="s">
        <v>141</v>
      </c>
      <c r="AK6" s="198" t="s">
        <v>151</v>
      </c>
      <c r="AL6" s="198" t="s">
        <v>152</v>
      </c>
      <c r="AM6" s="198" t="s">
        <v>153</v>
      </c>
      <c r="AN6" s="199" t="s">
        <v>94</v>
      </c>
      <c r="AP6" s="201" t="s">
        <v>61</v>
      </c>
      <c r="AQ6" s="202" t="s">
        <v>62</v>
      </c>
      <c r="AR6" s="202" t="s">
        <v>79</v>
      </c>
      <c r="AS6" s="202" t="s">
        <v>80</v>
      </c>
      <c r="AT6" s="202" t="s">
        <v>136</v>
      </c>
      <c r="AU6" s="202" t="s">
        <v>113</v>
      </c>
      <c r="AV6" s="202" t="s">
        <v>112</v>
      </c>
      <c r="AW6" s="202" t="s">
        <v>111</v>
      </c>
      <c r="AX6" s="203" t="s">
        <v>81</v>
      </c>
      <c r="AY6" s="204" t="s">
        <v>862</v>
      </c>
    </row>
    <row r="7" spans="1:159">
      <c r="A7" s="230">
        <v>1017</v>
      </c>
      <c r="B7" s="205">
        <v>103130</v>
      </c>
      <c r="C7" s="205" t="s">
        <v>232</v>
      </c>
      <c r="D7" s="205" t="s">
        <v>233</v>
      </c>
      <c r="E7" s="205" t="s">
        <v>180</v>
      </c>
      <c r="F7" s="243" t="s">
        <v>229</v>
      </c>
      <c r="G7" s="242"/>
      <c r="H7" s="213">
        <v>0</v>
      </c>
      <c r="I7" s="213">
        <v>0</v>
      </c>
      <c r="J7" s="213">
        <v>0</v>
      </c>
      <c r="K7" s="213">
        <v>0</v>
      </c>
      <c r="L7" s="213">
        <v>0</v>
      </c>
      <c r="M7" s="244">
        <v>0</v>
      </c>
      <c r="N7" s="244">
        <v>0</v>
      </c>
      <c r="O7" s="244">
        <v>0</v>
      </c>
      <c r="P7" s="244">
        <v>0</v>
      </c>
      <c r="Q7" s="244">
        <v>0</v>
      </c>
      <c r="R7" s="244">
        <v>0</v>
      </c>
      <c r="S7" s="244">
        <v>0</v>
      </c>
      <c r="T7" s="244">
        <v>0</v>
      </c>
      <c r="U7" s="244">
        <v>0</v>
      </c>
      <c r="V7" s="244">
        <v>0</v>
      </c>
      <c r="W7" s="244">
        <v>0</v>
      </c>
      <c r="X7" s="213">
        <v>0</v>
      </c>
      <c r="Y7" s="213"/>
      <c r="Z7" s="244"/>
      <c r="AA7" s="213"/>
      <c r="AB7" s="213"/>
      <c r="AC7" s="213"/>
      <c r="AD7" s="213"/>
      <c r="AE7" s="244"/>
      <c r="AF7" s="244"/>
      <c r="AG7" s="244"/>
      <c r="AH7" s="244"/>
      <c r="AI7" s="213"/>
      <c r="AJ7" s="244"/>
      <c r="AK7" s="244"/>
      <c r="AL7" s="213"/>
      <c r="AM7" s="213"/>
      <c r="AN7" s="245">
        <f t="shared" ref="AN7:AN38" si="0">SUM(H7:AM7)</f>
        <v>0</v>
      </c>
      <c r="AP7" s="37">
        <f t="shared" ref="AP7:AX16" si="1">SUMIF($H$3:$AM$3,AP$6,$H7:$AM7)</f>
        <v>0</v>
      </c>
      <c r="AQ7" s="37">
        <f t="shared" si="1"/>
        <v>0</v>
      </c>
      <c r="AR7" s="37">
        <f t="shared" si="1"/>
        <v>0</v>
      </c>
      <c r="AS7" s="37">
        <f t="shared" si="1"/>
        <v>0</v>
      </c>
      <c r="AT7" s="37">
        <f t="shared" si="1"/>
        <v>0</v>
      </c>
      <c r="AU7" s="37">
        <f t="shared" si="1"/>
        <v>0</v>
      </c>
      <c r="AV7" s="37">
        <f t="shared" si="1"/>
        <v>0</v>
      </c>
      <c r="AW7" s="37">
        <f t="shared" si="1"/>
        <v>0</v>
      </c>
      <c r="AX7" s="37">
        <f t="shared" si="1"/>
        <v>0</v>
      </c>
      <c r="AY7" s="64">
        <f>SUM(AP7:AX7)-AN7</f>
        <v>0</v>
      </c>
    </row>
    <row r="8" spans="1:159">
      <c r="A8" s="231">
        <v>2300</v>
      </c>
      <c r="B8" s="4">
        <v>103324</v>
      </c>
      <c r="C8" s="4" t="s">
        <v>235</v>
      </c>
      <c r="D8" s="4" t="s">
        <v>236</v>
      </c>
      <c r="E8" s="4" t="s">
        <v>5</v>
      </c>
      <c r="F8" s="232" t="s">
        <v>229</v>
      </c>
      <c r="H8" s="211">
        <v>8946</v>
      </c>
      <c r="I8" s="213">
        <v>0</v>
      </c>
      <c r="J8" s="213">
        <v>29237</v>
      </c>
      <c r="K8" s="211">
        <v>7031.25</v>
      </c>
      <c r="L8" s="211">
        <v>0</v>
      </c>
      <c r="M8" s="244">
        <v>24075</v>
      </c>
      <c r="N8" s="244">
        <v>0</v>
      </c>
      <c r="O8" s="244">
        <v>0</v>
      </c>
      <c r="P8" s="244">
        <v>0</v>
      </c>
      <c r="Q8" s="244">
        <v>28822</v>
      </c>
      <c r="R8" s="244">
        <v>111000</v>
      </c>
      <c r="S8" s="244">
        <v>10875</v>
      </c>
      <c r="T8" s="244">
        <v>0</v>
      </c>
      <c r="U8" s="244">
        <v>0</v>
      </c>
      <c r="V8" s="244">
        <v>0</v>
      </c>
      <c r="W8" s="244">
        <v>3598</v>
      </c>
      <c r="X8" s="213">
        <v>41922</v>
      </c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29">
        <f t="shared" si="0"/>
        <v>265506.25</v>
      </c>
      <c r="AP8" s="37">
        <f t="shared" si="1"/>
        <v>56910</v>
      </c>
      <c r="AQ8" s="37">
        <f t="shared" si="1"/>
        <v>0</v>
      </c>
      <c r="AR8" s="37">
        <f t="shared" si="1"/>
        <v>111000</v>
      </c>
      <c r="AS8" s="37">
        <f t="shared" si="1"/>
        <v>0</v>
      </c>
      <c r="AT8" s="37">
        <f t="shared" si="1"/>
        <v>0</v>
      </c>
      <c r="AU8" s="37">
        <f t="shared" si="1"/>
        <v>0</v>
      </c>
      <c r="AV8" s="37">
        <f t="shared" si="1"/>
        <v>17906.25</v>
      </c>
      <c r="AW8" s="37">
        <f t="shared" si="1"/>
        <v>79690</v>
      </c>
      <c r="AX8" s="37">
        <f t="shared" si="1"/>
        <v>0</v>
      </c>
      <c r="AY8" s="64">
        <f t="shared" ref="AY8:AY69" si="2">SUM(AP8:AX8)-AN8</f>
        <v>0</v>
      </c>
    </row>
    <row r="9" spans="1:159">
      <c r="A9" s="231">
        <v>7016</v>
      </c>
      <c r="B9" s="4">
        <v>103606</v>
      </c>
      <c r="C9" s="4" t="s">
        <v>238</v>
      </c>
      <c r="D9" s="4" t="s">
        <v>239</v>
      </c>
      <c r="E9" s="4" t="s">
        <v>1093</v>
      </c>
      <c r="F9" s="232" t="s">
        <v>229</v>
      </c>
      <c r="H9" s="211">
        <v>0</v>
      </c>
      <c r="I9" s="213">
        <v>112450.96</v>
      </c>
      <c r="J9" s="213">
        <v>0</v>
      </c>
      <c r="K9" s="211">
        <v>4406.25</v>
      </c>
      <c r="L9" s="211">
        <v>0</v>
      </c>
      <c r="M9" s="244">
        <v>0</v>
      </c>
      <c r="N9" s="244">
        <v>0</v>
      </c>
      <c r="O9" s="244">
        <v>0</v>
      </c>
      <c r="P9" s="244">
        <v>0</v>
      </c>
      <c r="Q9" s="244">
        <v>0</v>
      </c>
      <c r="R9" s="244">
        <v>18197</v>
      </c>
      <c r="S9" s="244">
        <v>16698</v>
      </c>
      <c r="T9" s="244">
        <v>200</v>
      </c>
      <c r="U9" s="244">
        <v>0</v>
      </c>
      <c r="V9" s="244">
        <v>84290.97</v>
      </c>
      <c r="W9" s="244">
        <v>0</v>
      </c>
      <c r="X9" s="213">
        <v>0</v>
      </c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29">
        <f t="shared" si="0"/>
        <v>236243.18000000002</v>
      </c>
      <c r="AP9" s="37">
        <f t="shared" si="1"/>
        <v>196741.93</v>
      </c>
      <c r="AQ9" s="37">
        <f t="shared" si="1"/>
        <v>0</v>
      </c>
      <c r="AR9" s="37">
        <f t="shared" si="1"/>
        <v>18197</v>
      </c>
      <c r="AS9" s="37">
        <f t="shared" si="1"/>
        <v>200</v>
      </c>
      <c r="AT9" s="37">
        <f t="shared" si="1"/>
        <v>0</v>
      </c>
      <c r="AU9" s="37">
        <f t="shared" si="1"/>
        <v>0</v>
      </c>
      <c r="AV9" s="37">
        <f t="shared" si="1"/>
        <v>21104.25</v>
      </c>
      <c r="AW9" s="37">
        <f t="shared" si="1"/>
        <v>0</v>
      </c>
      <c r="AX9" s="37">
        <f t="shared" si="1"/>
        <v>0</v>
      </c>
      <c r="AY9" s="64">
        <f t="shared" si="2"/>
        <v>0</v>
      </c>
    </row>
    <row r="10" spans="1:159">
      <c r="A10" s="231">
        <v>5413</v>
      </c>
      <c r="B10" s="4">
        <v>103560</v>
      </c>
      <c r="C10" s="4" t="s">
        <v>241</v>
      </c>
      <c r="D10" s="4" t="s">
        <v>242</v>
      </c>
      <c r="E10" s="4" t="s">
        <v>6</v>
      </c>
      <c r="F10" s="232" t="s">
        <v>229</v>
      </c>
      <c r="H10" s="211">
        <v>0</v>
      </c>
      <c r="I10" s="213">
        <v>0</v>
      </c>
      <c r="J10" s="213">
        <v>61905</v>
      </c>
      <c r="K10" s="211">
        <v>9871.8799999999992</v>
      </c>
      <c r="L10" s="211">
        <v>0</v>
      </c>
      <c r="M10" s="244">
        <v>49861</v>
      </c>
      <c r="N10" s="244">
        <v>0</v>
      </c>
      <c r="O10" s="244">
        <v>0</v>
      </c>
      <c r="P10" s="244">
        <v>0</v>
      </c>
      <c r="Q10" s="244">
        <v>0</v>
      </c>
      <c r="R10" s="244">
        <v>95580</v>
      </c>
      <c r="S10" s="244">
        <v>24702</v>
      </c>
      <c r="T10" s="244">
        <v>0</v>
      </c>
      <c r="U10" s="244">
        <v>32697</v>
      </c>
      <c r="V10" s="244">
        <v>0</v>
      </c>
      <c r="W10" s="244">
        <v>0</v>
      </c>
      <c r="X10" s="213">
        <v>0</v>
      </c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29">
        <f t="shared" si="0"/>
        <v>274616.88</v>
      </c>
      <c r="AP10" s="37">
        <f t="shared" si="1"/>
        <v>144463</v>
      </c>
      <c r="AQ10" s="37">
        <f t="shared" si="1"/>
        <v>0</v>
      </c>
      <c r="AR10" s="37">
        <f t="shared" si="1"/>
        <v>95580</v>
      </c>
      <c r="AS10" s="37">
        <f t="shared" si="1"/>
        <v>0</v>
      </c>
      <c r="AT10" s="37">
        <f t="shared" si="1"/>
        <v>0</v>
      </c>
      <c r="AU10" s="37">
        <f t="shared" si="1"/>
        <v>0</v>
      </c>
      <c r="AV10" s="37">
        <f t="shared" si="1"/>
        <v>34573.879999999997</v>
      </c>
      <c r="AW10" s="37">
        <f t="shared" si="1"/>
        <v>0</v>
      </c>
      <c r="AX10" s="37">
        <f t="shared" si="1"/>
        <v>0</v>
      </c>
      <c r="AY10" s="64">
        <f t="shared" si="2"/>
        <v>0</v>
      </c>
    </row>
    <row r="11" spans="1:159">
      <c r="A11" s="231">
        <v>2402</v>
      </c>
      <c r="B11" s="4">
        <v>103342</v>
      </c>
      <c r="C11" s="4" t="s">
        <v>244</v>
      </c>
      <c r="D11" s="4" t="s">
        <v>245</v>
      </c>
      <c r="E11" s="4" t="s">
        <v>5</v>
      </c>
      <c r="F11" s="232" t="s">
        <v>229</v>
      </c>
      <c r="H11" s="211">
        <v>7417</v>
      </c>
      <c r="I11" s="213">
        <v>0</v>
      </c>
      <c r="J11" s="213">
        <v>10848</v>
      </c>
      <c r="K11" s="211">
        <v>625</v>
      </c>
      <c r="L11" s="211">
        <v>0</v>
      </c>
      <c r="M11" s="244">
        <v>8955</v>
      </c>
      <c r="N11" s="244">
        <v>0</v>
      </c>
      <c r="O11" s="244">
        <v>0</v>
      </c>
      <c r="P11" s="244">
        <v>0</v>
      </c>
      <c r="Q11" s="244">
        <v>48610</v>
      </c>
      <c r="R11" s="244">
        <v>22490</v>
      </c>
      <c r="S11" s="244">
        <v>1776.25</v>
      </c>
      <c r="T11" s="244">
        <v>400</v>
      </c>
      <c r="U11" s="244">
        <v>0</v>
      </c>
      <c r="V11" s="244">
        <v>0</v>
      </c>
      <c r="W11" s="244">
        <v>0</v>
      </c>
      <c r="X11" s="213">
        <v>66878</v>
      </c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29">
        <f t="shared" si="0"/>
        <v>167999.25</v>
      </c>
      <c r="AP11" s="37">
        <f t="shared" si="1"/>
        <v>19803</v>
      </c>
      <c r="AQ11" s="37">
        <f t="shared" si="1"/>
        <v>0</v>
      </c>
      <c r="AR11" s="37">
        <f t="shared" si="1"/>
        <v>22490</v>
      </c>
      <c r="AS11" s="37">
        <f t="shared" si="1"/>
        <v>400</v>
      </c>
      <c r="AT11" s="37">
        <f t="shared" si="1"/>
        <v>0</v>
      </c>
      <c r="AU11" s="37">
        <f t="shared" si="1"/>
        <v>0</v>
      </c>
      <c r="AV11" s="37">
        <f t="shared" si="1"/>
        <v>2401.25</v>
      </c>
      <c r="AW11" s="37">
        <f t="shared" si="1"/>
        <v>122905</v>
      </c>
      <c r="AX11" s="37">
        <f t="shared" si="1"/>
        <v>0</v>
      </c>
      <c r="AY11" s="64">
        <f t="shared" si="2"/>
        <v>0</v>
      </c>
    </row>
    <row r="12" spans="1:159">
      <c r="A12" s="231">
        <v>2401</v>
      </c>
      <c r="B12" s="4">
        <v>103341</v>
      </c>
      <c r="C12" s="4" t="s">
        <v>247</v>
      </c>
      <c r="D12" s="4" t="s">
        <v>248</v>
      </c>
      <c r="E12" s="4" t="s">
        <v>5</v>
      </c>
      <c r="F12" s="232" t="s">
        <v>229</v>
      </c>
      <c r="H12" s="211">
        <v>8250</v>
      </c>
      <c r="I12" s="213">
        <v>0</v>
      </c>
      <c r="J12" s="213">
        <v>14609</v>
      </c>
      <c r="K12" s="211">
        <v>2025</v>
      </c>
      <c r="L12" s="211">
        <v>0</v>
      </c>
      <c r="M12" s="244">
        <v>12057</v>
      </c>
      <c r="N12" s="244">
        <v>0</v>
      </c>
      <c r="O12" s="244">
        <v>0</v>
      </c>
      <c r="P12" s="244">
        <v>0</v>
      </c>
      <c r="Q12" s="244">
        <v>0</v>
      </c>
      <c r="R12" s="244">
        <v>25387</v>
      </c>
      <c r="S12" s="244">
        <v>2283.75</v>
      </c>
      <c r="T12" s="244">
        <v>600</v>
      </c>
      <c r="U12" s="244">
        <v>0</v>
      </c>
      <c r="V12" s="244">
        <v>0</v>
      </c>
      <c r="W12" s="244">
        <v>0</v>
      </c>
      <c r="X12" s="213">
        <v>0</v>
      </c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29">
        <f t="shared" si="0"/>
        <v>65211.75</v>
      </c>
      <c r="AP12" s="37">
        <f t="shared" si="1"/>
        <v>26666</v>
      </c>
      <c r="AQ12" s="37">
        <f t="shared" si="1"/>
        <v>0</v>
      </c>
      <c r="AR12" s="37">
        <f t="shared" si="1"/>
        <v>25387</v>
      </c>
      <c r="AS12" s="37">
        <f t="shared" si="1"/>
        <v>600</v>
      </c>
      <c r="AT12" s="37">
        <f t="shared" si="1"/>
        <v>0</v>
      </c>
      <c r="AU12" s="37">
        <f t="shared" si="1"/>
        <v>0</v>
      </c>
      <c r="AV12" s="37">
        <f t="shared" si="1"/>
        <v>4308.75</v>
      </c>
      <c r="AW12" s="37">
        <f t="shared" si="1"/>
        <v>8250</v>
      </c>
      <c r="AX12" s="37">
        <f t="shared" si="1"/>
        <v>0</v>
      </c>
      <c r="AY12" s="64">
        <f t="shared" si="2"/>
        <v>0</v>
      </c>
    </row>
    <row r="13" spans="1:159">
      <c r="A13" s="231">
        <v>4115</v>
      </c>
      <c r="B13" s="4">
        <v>103493</v>
      </c>
      <c r="C13" s="4" t="s">
        <v>250</v>
      </c>
      <c r="D13" s="4" t="s">
        <v>251</v>
      </c>
      <c r="E13" s="4" t="s">
        <v>6</v>
      </c>
      <c r="F13" s="232" t="s">
        <v>229</v>
      </c>
      <c r="H13" s="211">
        <v>0</v>
      </c>
      <c r="I13" s="213">
        <v>0</v>
      </c>
      <c r="J13" s="213">
        <v>44111</v>
      </c>
      <c r="K13" s="211">
        <v>8990.6299999999992</v>
      </c>
      <c r="L13" s="211">
        <v>0</v>
      </c>
      <c r="M13" s="244">
        <v>35424</v>
      </c>
      <c r="N13" s="244">
        <v>0</v>
      </c>
      <c r="O13" s="244">
        <v>0</v>
      </c>
      <c r="P13" s="244">
        <v>0</v>
      </c>
      <c r="Q13" s="244">
        <v>0</v>
      </c>
      <c r="R13" s="244">
        <v>82425</v>
      </c>
      <c r="S13" s="244">
        <v>21666</v>
      </c>
      <c r="T13" s="244">
        <v>0</v>
      </c>
      <c r="U13" s="244">
        <v>45292</v>
      </c>
      <c r="V13" s="244">
        <v>0</v>
      </c>
      <c r="W13" s="244">
        <v>0</v>
      </c>
      <c r="X13" s="213">
        <v>0</v>
      </c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29">
        <f t="shared" si="0"/>
        <v>237908.63</v>
      </c>
      <c r="AP13" s="37">
        <f t="shared" si="1"/>
        <v>124827</v>
      </c>
      <c r="AQ13" s="37">
        <f t="shared" si="1"/>
        <v>0</v>
      </c>
      <c r="AR13" s="37">
        <f t="shared" si="1"/>
        <v>82425</v>
      </c>
      <c r="AS13" s="37">
        <f t="shared" si="1"/>
        <v>0</v>
      </c>
      <c r="AT13" s="37">
        <f t="shared" si="1"/>
        <v>0</v>
      </c>
      <c r="AU13" s="37">
        <f t="shared" si="1"/>
        <v>0</v>
      </c>
      <c r="AV13" s="37">
        <f t="shared" si="1"/>
        <v>30656.629999999997</v>
      </c>
      <c r="AW13" s="37">
        <f t="shared" si="1"/>
        <v>0</v>
      </c>
      <c r="AX13" s="37">
        <f t="shared" si="1"/>
        <v>0</v>
      </c>
      <c r="AY13" s="64">
        <f t="shared" si="2"/>
        <v>0</v>
      </c>
    </row>
    <row r="14" spans="1:159">
      <c r="A14" s="231">
        <v>2030</v>
      </c>
      <c r="B14" s="4">
        <v>103172</v>
      </c>
      <c r="C14" s="4" t="s">
        <v>253</v>
      </c>
      <c r="D14" s="4" t="s">
        <v>254</v>
      </c>
      <c r="E14" s="4" t="s">
        <v>5</v>
      </c>
      <c r="F14" s="232" t="s">
        <v>229</v>
      </c>
      <c r="H14" s="211">
        <v>8908</v>
      </c>
      <c r="I14" s="213">
        <v>0</v>
      </c>
      <c r="J14" s="213">
        <v>28035</v>
      </c>
      <c r="K14" s="211">
        <v>6609.38</v>
      </c>
      <c r="L14" s="211">
        <v>0</v>
      </c>
      <c r="M14" s="244">
        <v>23092</v>
      </c>
      <c r="N14" s="244">
        <v>0</v>
      </c>
      <c r="O14" s="244">
        <v>0</v>
      </c>
      <c r="P14" s="244">
        <v>1200</v>
      </c>
      <c r="Q14" s="244">
        <v>30364</v>
      </c>
      <c r="R14" s="244">
        <v>98050</v>
      </c>
      <c r="S14" s="244">
        <v>9606.25</v>
      </c>
      <c r="T14" s="244">
        <v>800</v>
      </c>
      <c r="U14" s="244">
        <v>0</v>
      </c>
      <c r="V14" s="244">
        <v>0</v>
      </c>
      <c r="W14" s="244">
        <v>3598</v>
      </c>
      <c r="X14" s="213">
        <v>42903</v>
      </c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29">
        <f t="shared" si="0"/>
        <v>253165.63</v>
      </c>
      <c r="AP14" s="37">
        <f t="shared" si="1"/>
        <v>54725</v>
      </c>
      <c r="AQ14" s="37">
        <f t="shared" si="1"/>
        <v>0</v>
      </c>
      <c r="AR14" s="37">
        <f t="shared" si="1"/>
        <v>98050</v>
      </c>
      <c r="AS14" s="37">
        <f t="shared" si="1"/>
        <v>2000</v>
      </c>
      <c r="AT14" s="37">
        <f t="shared" si="1"/>
        <v>0</v>
      </c>
      <c r="AU14" s="37">
        <f t="shared" si="1"/>
        <v>0</v>
      </c>
      <c r="AV14" s="37">
        <f t="shared" si="1"/>
        <v>16215.630000000001</v>
      </c>
      <c r="AW14" s="37">
        <f t="shared" si="1"/>
        <v>82175</v>
      </c>
      <c r="AX14" s="37">
        <f t="shared" si="1"/>
        <v>0</v>
      </c>
      <c r="AY14" s="64">
        <f t="shared" si="2"/>
        <v>0</v>
      </c>
    </row>
    <row r="15" spans="1:159">
      <c r="A15" s="231">
        <v>2238</v>
      </c>
      <c r="B15" s="4">
        <v>103288</v>
      </c>
      <c r="C15" s="4" t="s">
        <v>256</v>
      </c>
      <c r="D15" s="4" t="s">
        <v>257</v>
      </c>
      <c r="E15" s="4" t="s">
        <v>5</v>
      </c>
      <c r="F15" s="232" t="s">
        <v>229</v>
      </c>
      <c r="H15" s="211">
        <v>7117</v>
      </c>
      <c r="I15" s="213">
        <v>0</v>
      </c>
      <c r="J15" s="213">
        <v>7938</v>
      </c>
      <c r="K15" s="211">
        <v>1546.88</v>
      </c>
      <c r="L15" s="211">
        <v>0</v>
      </c>
      <c r="M15" s="244">
        <v>6538</v>
      </c>
      <c r="N15" s="244">
        <v>0</v>
      </c>
      <c r="O15" s="244">
        <v>0</v>
      </c>
      <c r="P15" s="244">
        <v>0</v>
      </c>
      <c r="Q15" s="244">
        <v>15062</v>
      </c>
      <c r="R15" s="244">
        <v>25785</v>
      </c>
      <c r="S15" s="244">
        <v>2501.25</v>
      </c>
      <c r="T15" s="244">
        <v>400</v>
      </c>
      <c r="U15" s="244">
        <v>0</v>
      </c>
      <c r="V15" s="244">
        <v>0</v>
      </c>
      <c r="W15" s="244">
        <v>0</v>
      </c>
      <c r="X15" s="213">
        <v>22854</v>
      </c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29">
        <f t="shared" si="0"/>
        <v>89742.13</v>
      </c>
      <c r="AP15" s="37">
        <f t="shared" si="1"/>
        <v>14476</v>
      </c>
      <c r="AQ15" s="37">
        <f t="shared" si="1"/>
        <v>0</v>
      </c>
      <c r="AR15" s="37">
        <f t="shared" si="1"/>
        <v>25785</v>
      </c>
      <c r="AS15" s="37">
        <f t="shared" si="1"/>
        <v>400</v>
      </c>
      <c r="AT15" s="37">
        <f t="shared" si="1"/>
        <v>0</v>
      </c>
      <c r="AU15" s="37">
        <f t="shared" si="1"/>
        <v>0</v>
      </c>
      <c r="AV15" s="37">
        <f t="shared" si="1"/>
        <v>4048.13</v>
      </c>
      <c r="AW15" s="37">
        <f t="shared" si="1"/>
        <v>45033</v>
      </c>
      <c r="AX15" s="37">
        <f t="shared" si="1"/>
        <v>0</v>
      </c>
      <c r="AY15" s="64">
        <f t="shared" si="2"/>
        <v>0</v>
      </c>
    </row>
    <row r="16" spans="1:159">
      <c r="A16" s="231">
        <v>2236</v>
      </c>
      <c r="B16" s="4">
        <v>103286</v>
      </c>
      <c r="C16" s="4" t="s">
        <v>259</v>
      </c>
      <c r="D16" s="4" t="s">
        <v>260</v>
      </c>
      <c r="E16" s="4" t="s">
        <v>5</v>
      </c>
      <c r="F16" s="232" t="s">
        <v>229</v>
      </c>
      <c r="H16" s="211">
        <v>7596</v>
      </c>
      <c r="I16" s="213">
        <v>0</v>
      </c>
      <c r="J16" s="213">
        <v>11444</v>
      </c>
      <c r="K16" s="211">
        <v>3431.25</v>
      </c>
      <c r="L16" s="211">
        <v>0</v>
      </c>
      <c r="M16" s="244">
        <v>9420</v>
      </c>
      <c r="N16" s="244">
        <v>0</v>
      </c>
      <c r="O16" s="244">
        <v>0</v>
      </c>
      <c r="P16" s="244">
        <v>0</v>
      </c>
      <c r="Q16" s="244">
        <v>0</v>
      </c>
      <c r="R16" s="244">
        <v>46407</v>
      </c>
      <c r="S16" s="244">
        <v>4495</v>
      </c>
      <c r="T16" s="244">
        <v>0</v>
      </c>
      <c r="U16" s="244">
        <v>0</v>
      </c>
      <c r="V16" s="244">
        <v>0</v>
      </c>
      <c r="W16" s="244">
        <v>0</v>
      </c>
      <c r="X16" s="213">
        <v>0</v>
      </c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29">
        <f t="shared" si="0"/>
        <v>82793.25</v>
      </c>
      <c r="AP16" s="37">
        <f t="shared" si="1"/>
        <v>20864</v>
      </c>
      <c r="AQ16" s="37">
        <f t="shared" si="1"/>
        <v>0</v>
      </c>
      <c r="AR16" s="37">
        <f t="shared" si="1"/>
        <v>46407</v>
      </c>
      <c r="AS16" s="37">
        <f t="shared" si="1"/>
        <v>0</v>
      </c>
      <c r="AT16" s="37">
        <f t="shared" si="1"/>
        <v>0</v>
      </c>
      <c r="AU16" s="37">
        <f t="shared" si="1"/>
        <v>0</v>
      </c>
      <c r="AV16" s="37">
        <f t="shared" si="1"/>
        <v>7926.25</v>
      </c>
      <c r="AW16" s="37">
        <f t="shared" si="1"/>
        <v>7596</v>
      </c>
      <c r="AX16" s="37">
        <f t="shared" si="1"/>
        <v>0</v>
      </c>
      <c r="AY16" s="64">
        <f t="shared" si="2"/>
        <v>0</v>
      </c>
    </row>
    <row r="17" spans="1:51">
      <c r="A17" s="231">
        <v>4801</v>
      </c>
      <c r="B17" s="4">
        <v>103539</v>
      </c>
      <c r="C17" s="4" t="s">
        <v>262</v>
      </c>
      <c r="D17" s="4" t="s">
        <v>263</v>
      </c>
      <c r="E17" s="4" t="s">
        <v>6</v>
      </c>
      <c r="F17" s="232" t="s">
        <v>229</v>
      </c>
      <c r="H17" s="211">
        <v>0</v>
      </c>
      <c r="I17" s="213">
        <v>0</v>
      </c>
      <c r="J17" s="213">
        <v>52899</v>
      </c>
      <c r="K17" s="211">
        <v>11250</v>
      </c>
      <c r="L17" s="211">
        <v>0</v>
      </c>
      <c r="M17" s="244">
        <v>42470</v>
      </c>
      <c r="N17" s="244">
        <v>0</v>
      </c>
      <c r="O17" s="244">
        <v>0</v>
      </c>
      <c r="P17" s="244">
        <v>0</v>
      </c>
      <c r="Q17" s="244">
        <v>0</v>
      </c>
      <c r="R17" s="244">
        <v>98855</v>
      </c>
      <c r="S17" s="244">
        <v>25806</v>
      </c>
      <c r="T17" s="244">
        <v>0</v>
      </c>
      <c r="U17" s="244">
        <v>0</v>
      </c>
      <c r="V17" s="244">
        <v>0</v>
      </c>
      <c r="W17" s="244">
        <v>0</v>
      </c>
      <c r="X17" s="213">
        <v>0</v>
      </c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29">
        <f t="shared" si="0"/>
        <v>231280</v>
      </c>
      <c r="AP17" s="37">
        <f t="shared" ref="AP17:AX26" si="3">SUMIF($H$3:$AM$3,AP$6,$H17:$AM17)</f>
        <v>95369</v>
      </c>
      <c r="AQ17" s="37">
        <f t="shared" si="3"/>
        <v>0</v>
      </c>
      <c r="AR17" s="37">
        <f t="shared" si="3"/>
        <v>98855</v>
      </c>
      <c r="AS17" s="37">
        <f t="shared" si="3"/>
        <v>0</v>
      </c>
      <c r="AT17" s="37">
        <f t="shared" si="3"/>
        <v>0</v>
      </c>
      <c r="AU17" s="37">
        <f t="shared" si="3"/>
        <v>0</v>
      </c>
      <c r="AV17" s="37">
        <f t="shared" si="3"/>
        <v>37056</v>
      </c>
      <c r="AW17" s="37">
        <f t="shared" si="3"/>
        <v>0</v>
      </c>
      <c r="AX17" s="37">
        <f t="shared" si="3"/>
        <v>0</v>
      </c>
      <c r="AY17" s="64">
        <f t="shared" si="2"/>
        <v>0</v>
      </c>
    </row>
    <row r="18" spans="1:51">
      <c r="A18" s="231">
        <v>2312</v>
      </c>
      <c r="B18" s="4">
        <v>103332</v>
      </c>
      <c r="C18" s="4" t="s">
        <v>265</v>
      </c>
      <c r="D18" s="4" t="s">
        <v>266</v>
      </c>
      <c r="E18" s="4" t="s">
        <v>5</v>
      </c>
      <c r="F18" s="232" t="s">
        <v>229</v>
      </c>
      <c r="H18" s="211">
        <v>8158</v>
      </c>
      <c r="I18" s="213">
        <v>0</v>
      </c>
      <c r="J18" s="213">
        <v>16303</v>
      </c>
      <c r="K18" s="211">
        <v>1856.25</v>
      </c>
      <c r="L18" s="211">
        <v>0</v>
      </c>
      <c r="M18" s="244">
        <v>13452</v>
      </c>
      <c r="N18" s="244">
        <v>0</v>
      </c>
      <c r="O18" s="244">
        <v>0</v>
      </c>
      <c r="P18" s="244">
        <v>0</v>
      </c>
      <c r="Q18" s="244">
        <v>28261</v>
      </c>
      <c r="R18" s="244">
        <v>30465</v>
      </c>
      <c r="S18" s="244">
        <v>2923</v>
      </c>
      <c r="T18" s="244">
        <v>200</v>
      </c>
      <c r="U18" s="244">
        <v>0</v>
      </c>
      <c r="V18" s="244">
        <v>0</v>
      </c>
      <c r="W18" s="244">
        <v>0</v>
      </c>
      <c r="X18" s="213">
        <v>40941</v>
      </c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29">
        <f t="shared" si="0"/>
        <v>142559.25</v>
      </c>
      <c r="AP18" s="37">
        <f t="shared" si="3"/>
        <v>29755</v>
      </c>
      <c r="AQ18" s="37">
        <f t="shared" si="3"/>
        <v>0</v>
      </c>
      <c r="AR18" s="37">
        <f t="shared" si="3"/>
        <v>30465</v>
      </c>
      <c r="AS18" s="37">
        <f t="shared" si="3"/>
        <v>200</v>
      </c>
      <c r="AT18" s="37">
        <f t="shared" si="3"/>
        <v>0</v>
      </c>
      <c r="AU18" s="37">
        <f t="shared" si="3"/>
        <v>0</v>
      </c>
      <c r="AV18" s="37">
        <f t="shared" si="3"/>
        <v>4779.25</v>
      </c>
      <c r="AW18" s="37">
        <f t="shared" si="3"/>
        <v>77360</v>
      </c>
      <c r="AX18" s="37">
        <f t="shared" si="3"/>
        <v>0</v>
      </c>
      <c r="AY18" s="64">
        <f t="shared" si="2"/>
        <v>0</v>
      </c>
    </row>
    <row r="19" spans="1:51">
      <c r="A19" s="231">
        <v>7051</v>
      </c>
      <c r="B19" s="4">
        <v>103626</v>
      </c>
      <c r="C19" s="4" t="s">
        <v>268</v>
      </c>
      <c r="D19" s="4" t="s">
        <v>269</v>
      </c>
      <c r="E19" s="4" t="s">
        <v>1093</v>
      </c>
      <c r="F19" s="232" t="s">
        <v>229</v>
      </c>
      <c r="H19" s="211">
        <v>7104</v>
      </c>
      <c r="I19" s="213">
        <v>66393.919999999998</v>
      </c>
      <c r="J19" s="213">
        <v>0</v>
      </c>
      <c r="K19" s="211">
        <v>4700</v>
      </c>
      <c r="L19" s="211">
        <v>0</v>
      </c>
      <c r="M19" s="244">
        <v>0</v>
      </c>
      <c r="N19" s="244">
        <v>0</v>
      </c>
      <c r="O19" s="244">
        <v>0</v>
      </c>
      <c r="P19" s="244">
        <v>0</v>
      </c>
      <c r="Q19" s="244">
        <v>3645</v>
      </c>
      <c r="R19" s="244">
        <v>26640</v>
      </c>
      <c r="S19" s="244">
        <v>8120</v>
      </c>
      <c r="T19" s="244">
        <v>0</v>
      </c>
      <c r="U19" s="244">
        <v>0</v>
      </c>
      <c r="V19" s="244">
        <v>49767.54</v>
      </c>
      <c r="W19" s="244">
        <v>0</v>
      </c>
      <c r="X19" s="213">
        <v>3926</v>
      </c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29">
        <f t="shared" si="0"/>
        <v>170296.46</v>
      </c>
      <c r="AP19" s="37">
        <f t="shared" si="3"/>
        <v>116161.45999999999</v>
      </c>
      <c r="AQ19" s="37">
        <f t="shared" si="3"/>
        <v>0</v>
      </c>
      <c r="AR19" s="37">
        <f t="shared" si="3"/>
        <v>26640</v>
      </c>
      <c r="AS19" s="37">
        <f t="shared" si="3"/>
        <v>0</v>
      </c>
      <c r="AT19" s="37">
        <f t="shared" si="3"/>
        <v>0</v>
      </c>
      <c r="AU19" s="37">
        <f t="shared" si="3"/>
        <v>0</v>
      </c>
      <c r="AV19" s="37">
        <f t="shared" si="3"/>
        <v>12820</v>
      </c>
      <c r="AW19" s="37">
        <f t="shared" si="3"/>
        <v>14675</v>
      </c>
      <c r="AX19" s="37">
        <f t="shared" si="3"/>
        <v>0</v>
      </c>
      <c r="AY19" s="64">
        <f t="shared" si="2"/>
        <v>0</v>
      </c>
    </row>
    <row r="20" spans="1:51">
      <c r="A20" s="231">
        <v>2251</v>
      </c>
      <c r="B20" s="4">
        <v>103298</v>
      </c>
      <c r="C20" s="4" t="s">
        <v>271</v>
      </c>
      <c r="D20" s="4" t="s">
        <v>272</v>
      </c>
      <c r="E20" s="4" t="s">
        <v>5</v>
      </c>
      <c r="F20" s="232" t="s">
        <v>229</v>
      </c>
      <c r="H20" s="211">
        <v>8167</v>
      </c>
      <c r="I20" s="213">
        <v>0</v>
      </c>
      <c r="J20" s="213">
        <v>16271</v>
      </c>
      <c r="K20" s="211">
        <v>2081.25</v>
      </c>
      <c r="L20" s="211">
        <v>0</v>
      </c>
      <c r="M20" s="244">
        <v>13426</v>
      </c>
      <c r="N20" s="244">
        <v>0</v>
      </c>
      <c r="O20" s="244">
        <v>0</v>
      </c>
      <c r="P20" s="244">
        <v>0</v>
      </c>
      <c r="Q20" s="244">
        <v>29223</v>
      </c>
      <c r="R20" s="244">
        <v>28197</v>
      </c>
      <c r="S20" s="244">
        <v>4401.5</v>
      </c>
      <c r="T20" s="244">
        <v>200</v>
      </c>
      <c r="U20" s="244">
        <v>0</v>
      </c>
      <c r="V20" s="244">
        <v>0</v>
      </c>
      <c r="W20" s="244">
        <v>0</v>
      </c>
      <c r="X20" s="213">
        <v>42483</v>
      </c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29">
        <f t="shared" si="0"/>
        <v>144449.75</v>
      </c>
      <c r="AP20" s="37">
        <f t="shared" si="3"/>
        <v>29697</v>
      </c>
      <c r="AQ20" s="37">
        <f t="shared" si="3"/>
        <v>0</v>
      </c>
      <c r="AR20" s="37">
        <f t="shared" si="3"/>
        <v>28197</v>
      </c>
      <c r="AS20" s="37">
        <f t="shared" si="3"/>
        <v>200</v>
      </c>
      <c r="AT20" s="37">
        <f t="shared" si="3"/>
        <v>0</v>
      </c>
      <c r="AU20" s="37">
        <f t="shared" si="3"/>
        <v>0</v>
      </c>
      <c r="AV20" s="37">
        <f t="shared" si="3"/>
        <v>6482.75</v>
      </c>
      <c r="AW20" s="37">
        <f t="shared" si="3"/>
        <v>79873</v>
      </c>
      <c r="AX20" s="37">
        <f t="shared" si="3"/>
        <v>0</v>
      </c>
      <c r="AY20" s="64">
        <f t="shared" si="2"/>
        <v>0</v>
      </c>
    </row>
    <row r="21" spans="1:51">
      <c r="A21" s="231">
        <v>3002</v>
      </c>
      <c r="B21" s="4">
        <v>103397</v>
      </c>
      <c r="C21" s="4" t="s">
        <v>274</v>
      </c>
      <c r="D21" s="4" t="s">
        <v>275</v>
      </c>
      <c r="E21" s="4" t="s">
        <v>5</v>
      </c>
      <c r="F21" s="232" t="s">
        <v>229</v>
      </c>
      <c r="H21" s="211">
        <v>7404</v>
      </c>
      <c r="I21" s="213">
        <v>0</v>
      </c>
      <c r="J21" s="213">
        <v>10282</v>
      </c>
      <c r="K21" s="211">
        <v>2306.25</v>
      </c>
      <c r="L21" s="211">
        <v>0</v>
      </c>
      <c r="M21" s="244">
        <v>8465</v>
      </c>
      <c r="N21" s="244">
        <v>0</v>
      </c>
      <c r="O21" s="244">
        <v>0</v>
      </c>
      <c r="P21" s="244">
        <v>0</v>
      </c>
      <c r="Q21" s="244">
        <v>8592</v>
      </c>
      <c r="R21" s="244">
        <v>37370</v>
      </c>
      <c r="S21" s="244">
        <v>3661.25</v>
      </c>
      <c r="T21" s="244">
        <v>400</v>
      </c>
      <c r="U21" s="244">
        <v>0</v>
      </c>
      <c r="V21" s="244">
        <v>0</v>
      </c>
      <c r="W21" s="244">
        <v>0</v>
      </c>
      <c r="X21" s="213">
        <v>10656</v>
      </c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29">
        <f t="shared" si="0"/>
        <v>89136.5</v>
      </c>
      <c r="AP21" s="37">
        <f t="shared" si="3"/>
        <v>18747</v>
      </c>
      <c r="AQ21" s="37">
        <f t="shared" si="3"/>
        <v>0</v>
      </c>
      <c r="AR21" s="37">
        <f t="shared" si="3"/>
        <v>37370</v>
      </c>
      <c r="AS21" s="37">
        <f t="shared" si="3"/>
        <v>400</v>
      </c>
      <c r="AT21" s="37">
        <f t="shared" si="3"/>
        <v>0</v>
      </c>
      <c r="AU21" s="37">
        <f t="shared" si="3"/>
        <v>0</v>
      </c>
      <c r="AV21" s="37">
        <f t="shared" si="3"/>
        <v>5967.5</v>
      </c>
      <c r="AW21" s="37">
        <f t="shared" si="3"/>
        <v>26652</v>
      </c>
      <c r="AX21" s="37">
        <f t="shared" si="3"/>
        <v>0</v>
      </c>
      <c r="AY21" s="64">
        <f t="shared" si="2"/>
        <v>0</v>
      </c>
    </row>
    <row r="22" spans="1:51">
      <c r="A22" s="231">
        <v>3319</v>
      </c>
      <c r="B22" s="4">
        <v>103423</v>
      </c>
      <c r="C22" s="4" t="s">
        <v>277</v>
      </c>
      <c r="D22" s="4" t="s">
        <v>278</v>
      </c>
      <c r="E22" s="4" t="s">
        <v>5</v>
      </c>
      <c r="F22" s="232" t="s">
        <v>229</v>
      </c>
      <c r="H22" s="211">
        <v>7975</v>
      </c>
      <c r="I22" s="213">
        <v>0</v>
      </c>
      <c r="J22" s="213">
        <v>16079</v>
      </c>
      <c r="K22" s="211">
        <v>3965.63</v>
      </c>
      <c r="L22" s="211">
        <v>0</v>
      </c>
      <c r="M22" s="244">
        <v>13244</v>
      </c>
      <c r="N22" s="244">
        <v>0</v>
      </c>
      <c r="O22" s="244">
        <v>0</v>
      </c>
      <c r="P22" s="244">
        <v>0</v>
      </c>
      <c r="Q22" s="244">
        <v>18487</v>
      </c>
      <c r="R22" s="244">
        <v>54390</v>
      </c>
      <c r="S22" s="244">
        <v>5328.75</v>
      </c>
      <c r="T22" s="244">
        <v>0</v>
      </c>
      <c r="U22" s="244">
        <v>0</v>
      </c>
      <c r="V22" s="244">
        <v>0</v>
      </c>
      <c r="W22" s="244">
        <v>0</v>
      </c>
      <c r="X22" s="213">
        <v>26079</v>
      </c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29">
        <f t="shared" si="0"/>
        <v>145548.38</v>
      </c>
      <c r="AP22" s="37">
        <f t="shared" si="3"/>
        <v>29323</v>
      </c>
      <c r="AQ22" s="37">
        <f t="shared" si="3"/>
        <v>0</v>
      </c>
      <c r="AR22" s="37">
        <f t="shared" si="3"/>
        <v>54390</v>
      </c>
      <c r="AS22" s="37">
        <f t="shared" si="3"/>
        <v>0</v>
      </c>
      <c r="AT22" s="37">
        <f t="shared" si="3"/>
        <v>0</v>
      </c>
      <c r="AU22" s="37">
        <f t="shared" si="3"/>
        <v>0</v>
      </c>
      <c r="AV22" s="37">
        <f t="shared" si="3"/>
        <v>9294.380000000001</v>
      </c>
      <c r="AW22" s="37">
        <f t="shared" si="3"/>
        <v>52541</v>
      </c>
      <c r="AX22" s="37">
        <f t="shared" si="3"/>
        <v>0</v>
      </c>
      <c r="AY22" s="64">
        <f t="shared" si="2"/>
        <v>0</v>
      </c>
    </row>
    <row r="23" spans="1:51">
      <c r="A23" s="231">
        <v>5416</v>
      </c>
      <c r="B23" s="4">
        <v>103563</v>
      </c>
      <c r="C23" s="4" t="s">
        <v>280</v>
      </c>
      <c r="D23" s="4" t="s">
        <v>281</v>
      </c>
      <c r="E23" s="4" t="s">
        <v>6</v>
      </c>
      <c r="F23" s="232" t="s">
        <v>229</v>
      </c>
      <c r="H23" s="211">
        <v>0</v>
      </c>
      <c r="I23" s="213">
        <v>0</v>
      </c>
      <c r="J23" s="213">
        <v>81558</v>
      </c>
      <c r="K23" s="211">
        <v>17325</v>
      </c>
      <c r="L23" s="211">
        <v>0</v>
      </c>
      <c r="M23" s="244">
        <v>65421</v>
      </c>
      <c r="N23" s="244">
        <v>0</v>
      </c>
      <c r="O23" s="244">
        <v>94608</v>
      </c>
      <c r="P23" s="244">
        <v>0</v>
      </c>
      <c r="Q23" s="244">
        <v>0</v>
      </c>
      <c r="R23" s="244">
        <v>163727</v>
      </c>
      <c r="S23" s="244">
        <v>42159</v>
      </c>
      <c r="T23" s="244">
        <v>0</v>
      </c>
      <c r="U23" s="244">
        <v>10488</v>
      </c>
      <c r="V23" s="244">
        <v>0</v>
      </c>
      <c r="W23" s="244">
        <v>0</v>
      </c>
      <c r="X23" s="213">
        <v>0</v>
      </c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29">
        <f t="shared" si="0"/>
        <v>475286</v>
      </c>
      <c r="AP23" s="37">
        <f t="shared" si="3"/>
        <v>157467</v>
      </c>
      <c r="AQ23" s="37">
        <f t="shared" si="3"/>
        <v>0</v>
      </c>
      <c r="AR23" s="37">
        <f t="shared" si="3"/>
        <v>163727</v>
      </c>
      <c r="AS23" s="37">
        <f t="shared" si="3"/>
        <v>0</v>
      </c>
      <c r="AT23" s="37">
        <f t="shared" si="3"/>
        <v>0</v>
      </c>
      <c r="AU23" s="37">
        <f t="shared" si="3"/>
        <v>0</v>
      </c>
      <c r="AV23" s="37">
        <f t="shared" si="3"/>
        <v>154092</v>
      </c>
      <c r="AW23" s="37">
        <f t="shared" si="3"/>
        <v>0</v>
      </c>
      <c r="AX23" s="37">
        <f t="shared" si="3"/>
        <v>0</v>
      </c>
      <c r="AY23" s="64">
        <f t="shared" si="2"/>
        <v>0</v>
      </c>
    </row>
    <row r="24" spans="1:51">
      <c r="A24" s="231">
        <v>2054</v>
      </c>
      <c r="B24" s="4">
        <v>103189</v>
      </c>
      <c r="C24" s="4" t="s">
        <v>283</v>
      </c>
      <c r="D24" s="4" t="s">
        <v>284</v>
      </c>
      <c r="E24" s="4" t="s">
        <v>5</v>
      </c>
      <c r="F24" s="232" t="s">
        <v>229</v>
      </c>
      <c r="H24" s="211">
        <v>7667</v>
      </c>
      <c r="I24" s="213">
        <v>0</v>
      </c>
      <c r="J24" s="213">
        <v>14222</v>
      </c>
      <c r="K24" s="211">
        <v>1490.63</v>
      </c>
      <c r="L24" s="211">
        <v>0</v>
      </c>
      <c r="M24" s="244">
        <v>11734</v>
      </c>
      <c r="N24" s="244">
        <v>0</v>
      </c>
      <c r="O24" s="244">
        <v>0</v>
      </c>
      <c r="P24" s="244">
        <v>0</v>
      </c>
      <c r="Q24" s="244">
        <v>50594</v>
      </c>
      <c r="R24" s="244">
        <v>29002</v>
      </c>
      <c r="S24" s="244">
        <v>2646.25</v>
      </c>
      <c r="T24" s="244">
        <v>0</v>
      </c>
      <c r="U24" s="244">
        <v>0</v>
      </c>
      <c r="V24" s="244">
        <v>0</v>
      </c>
      <c r="W24" s="244">
        <v>3598</v>
      </c>
      <c r="X24" s="213">
        <v>74169</v>
      </c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29">
        <f t="shared" si="0"/>
        <v>195122.88</v>
      </c>
      <c r="AP24" s="37">
        <f t="shared" si="3"/>
        <v>29554</v>
      </c>
      <c r="AQ24" s="37">
        <f t="shared" si="3"/>
        <v>0</v>
      </c>
      <c r="AR24" s="37">
        <f t="shared" si="3"/>
        <v>29002</v>
      </c>
      <c r="AS24" s="37">
        <f t="shared" si="3"/>
        <v>0</v>
      </c>
      <c r="AT24" s="37">
        <f t="shared" si="3"/>
        <v>0</v>
      </c>
      <c r="AU24" s="37">
        <f t="shared" si="3"/>
        <v>0</v>
      </c>
      <c r="AV24" s="37">
        <f t="shared" si="3"/>
        <v>4136.88</v>
      </c>
      <c r="AW24" s="37">
        <f t="shared" si="3"/>
        <v>132430</v>
      </c>
      <c r="AX24" s="37">
        <f t="shared" si="3"/>
        <v>0</v>
      </c>
      <c r="AY24" s="64">
        <f t="shared" si="2"/>
        <v>0</v>
      </c>
    </row>
    <row r="25" spans="1:51">
      <c r="A25" s="231">
        <v>2053</v>
      </c>
      <c r="B25" s="4">
        <v>103188</v>
      </c>
      <c r="C25" s="4" t="s">
        <v>286</v>
      </c>
      <c r="D25" s="4" t="s">
        <v>287</v>
      </c>
      <c r="E25" s="4" t="s">
        <v>5</v>
      </c>
      <c r="F25" s="232" t="s">
        <v>229</v>
      </c>
      <c r="H25" s="211">
        <v>8654</v>
      </c>
      <c r="I25" s="213">
        <v>0</v>
      </c>
      <c r="J25" s="213">
        <v>19453</v>
      </c>
      <c r="K25" s="211">
        <v>3881.25</v>
      </c>
      <c r="L25" s="211">
        <v>0</v>
      </c>
      <c r="M25" s="244">
        <v>16042</v>
      </c>
      <c r="N25" s="244">
        <v>0</v>
      </c>
      <c r="O25" s="244">
        <v>0</v>
      </c>
      <c r="P25" s="244">
        <v>0</v>
      </c>
      <c r="Q25" s="244">
        <v>0</v>
      </c>
      <c r="R25" s="244">
        <v>51467</v>
      </c>
      <c r="S25" s="244">
        <v>4748.75</v>
      </c>
      <c r="T25" s="244">
        <v>1000</v>
      </c>
      <c r="U25" s="244">
        <v>0</v>
      </c>
      <c r="V25" s="244">
        <v>0</v>
      </c>
      <c r="W25" s="244">
        <v>0</v>
      </c>
      <c r="X25" s="213">
        <v>0</v>
      </c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29">
        <f t="shared" si="0"/>
        <v>105246</v>
      </c>
      <c r="AP25" s="37">
        <f t="shared" si="3"/>
        <v>35495</v>
      </c>
      <c r="AQ25" s="37">
        <f t="shared" si="3"/>
        <v>0</v>
      </c>
      <c r="AR25" s="37">
        <f t="shared" si="3"/>
        <v>51467</v>
      </c>
      <c r="AS25" s="37">
        <f t="shared" si="3"/>
        <v>1000</v>
      </c>
      <c r="AT25" s="37">
        <f t="shared" si="3"/>
        <v>0</v>
      </c>
      <c r="AU25" s="37">
        <f t="shared" si="3"/>
        <v>0</v>
      </c>
      <c r="AV25" s="37">
        <f t="shared" si="3"/>
        <v>8630</v>
      </c>
      <c r="AW25" s="37">
        <f t="shared" si="3"/>
        <v>8654</v>
      </c>
      <c r="AX25" s="37">
        <f t="shared" si="3"/>
        <v>0</v>
      </c>
      <c r="AY25" s="64">
        <f t="shared" si="2"/>
        <v>0</v>
      </c>
    </row>
    <row r="26" spans="1:51">
      <c r="A26" s="231">
        <v>2055</v>
      </c>
      <c r="B26" s="4">
        <v>103190</v>
      </c>
      <c r="C26" s="4" t="s">
        <v>289</v>
      </c>
      <c r="D26" s="4" t="s">
        <v>290</v>
      </c>
      <c r="E26" s="4" t="s">
        <v>5</v>
      </c>
      <c r="F26" s="232" t="s">
        <v>229</v>
      </c>
      <c r="H26" s="211">
        <v>8146</v>
      </c>
      <c r="I26" s="213">
        <v>0</v>
      </c>
      <c r="J26" s="213">
        <v>17300</v>
      </c>
      <c r="K26" s="211">
        <v>3150</v>
      </c>
      <c r="L26" s="211">
        <v>0</v>
      </c>
      <c r="M26" s="244">
        <v>14265</v>
      </c>
      <c r="N26" s="244">
        <v>0</v>
      </c>
      <c r="O26" s="244">
        <v>0</v>
      </c>
      <c r="P26" s="244">
        <v>0</v>
      </c>
      <c r="Q26" s="244">
        <v>27440</v>
      </c>
      <c r="R26" s="244">
        <v>42070</v>
      </c>
      <c r="S26" s="244">
        <v>4060</v>
      </c>
      <c r="T26" s="244">
        <v>200</v>
      </c>
      <c r="U26" s="244">
        <v>0</v>
      </c>
      <c r="V26" s="244">
        <v>0</v>
      </c>
      <c r="W26" s="244">
        <v>3598</v>
      </c>
      <c r="X26" s="213">
        <v>39398</v>
      </c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29">
        <f t="shared" si="0"/>
        <v>159627</v>
      </c>
      <c r="AP26" s="37">
        <f t="shared" si="3"/>
        <v>35163</v>
      </c>
      <c r="AQ26" s="37">
        <f t="shared" si="3"/>
        <v>0</v>
      </c>
      <c r="AR26" s="37">
        <f t="shared" si="3"/>
        <v>42070</v>
      </c>
      <c r="AS26" s="37">
        <f t="shared" si="3"/>
        <v>200</v>
      </c>
      <c r="AT26" s="37">
        <f t="shared" si="3"/>
        <v>0</v>
      </c>
      <c r="AU26" s="37">
        <f t="shared" si="3"/>
        <v>0</v>
      </c>
      <c r="AV26" s="37">
        <f t="shared" si="3"/>
        <v>7210</v>
      </c>
      <c r="AW26" s="37">
        <f t="shared" si="3"/>
        <v>74984</v>
      </c>
      <c r="AX26" s="37">
        <f t="shared" si="3"/>
        <v>0</v>
      </c>
      <c r="AY26" s="64">
        <f t="shared" si="2"/>
        <v>0</v>
      </c>
    </row>
    <row r="27" spans="1:51">
      <c r="A27" s="231">
        <v>2486</v>
      </c>
      <c r="B27" s="4">
        <v>133759</v>
      </c>
      <c r="C27" s="4" t="s">
        <v>292</v>
      </c>
      <c r="D27" s="4" t="s">
        <v>293</v>
      </c>
      <c r="E27" s="4" t="s">
        <v>5</v>
      </c>
      <c r="F27" s="232" t="s">
        <v>229</v>
      </c>
      <c r="H27" s="211">
        <v>7367</v>
      </c>
      <c r="I27" s="213">
        <v>0</v>
      </c>
      <c r="J27" s="213">
        <v>10909</v>
      </c>
      <c r="K27" s="211">
        <v>3375</v>
      </c>
      <c r="L27" s="211">
        <v>0</v>
      </c>
      <c r="M27" s="244">
        <v>8975</v>
      </c>
      <c r="N27" s="244">
        <v>0</v>
      </c>
      <c r="O27" s="244">
        <v>0</v>
      </c>
      <c r="P27" s="244">
        <v>0</v>
      </c>
      <c r="Q27" s="244">
        <v>5267</v>
      </c>
      <c r="R27" s="244">
        <v>50265</v>
      </c>
      <c r="S27" s="244">
        <v>4821.25</v>
      </c>
      <c r="T27" s="244">
        <v>0</v>
      </c>
      <c r="U27" s="244">
        <v>0</v>
      </c>
      <c r="V27" s="244">
        <v>0</v>
      </c>
      <c r="W27" s="244">
        <v>3598</v>
      </c>
      <c r="X27" s="213">
        <v>7572</v>
      </c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29">
        <f t="shared" si="0"/>
        <v>102149.25</v>
      </c>
      <c r="AP27" s="37">
        <f t="shared" ref="AP27:AX36" si="4">SUMIF($H$3:$AM$3,AP$6,$H27:$AM27)</f>
        <v>23482</v>
      </c>
      <c r="AQ27" s="37">
        <f t="shared" si="4"/>
        <v>0</v>
      </c>
      <c r="AR27" s="37">
        <f t="shared" si="4"/>
        <v>50265</v>
      </c>
      <c r="AS27" s="37">
        <f t="shared" si="4"/>
        <v>0</v>
      </c>
      <c r="AT27" s="37">
        <f t="shared" si="4"/>
        <v>0</v>
      </c>
      <c r="AU27" s="37">
        <f t="shared" si="4"/>
        <v>0</v>
      </c>
      <c r="AV27" s="37">
        <f t="shared" si="4"/>
        <v>8196.25</v>
      </c>
      <c r="AW27" s="37">
        <f t="shared" si="4"/>
        <v>20206</v>
      </c>
      <c r="AX27" s="37">
        <f t="shared" si="4"/>
        <v>0</v>
      </c>
      <c r="AY27" s="64">
        <f t="shared" si="2"/>
        <v>0</v>
      </c>
    </row>
    <row r="28" spans="1:51">
      <c r="A28" s="231">
        <v>2296</v>
      </c>
      <c r="B28" s="4">
        <v>103320</v>
      </c>
      <c r="C28" s="4" t="s">
        <v>295</v>
      </c>
      <c r="D28" s="4" t="s">
        <v>297</v>
      </c>
      <c r="E28" s="4" t="s">
        <v>5</v>
      </c>
      <c r="F28" s="232" t="s">
        <v>296</v>
      </c>
      <c r="H28" s="211">
        <v>7787</v>
      </c>
      <c r="I28" s="213">
        <v>0</v>
      </c>
      <c r="J28" s="213">
        <v>13116</v>
      </c>
      <c r="K28" s="211">
        <v>3178.13</v>
      </c>
      <c r="L28" s="211">
        <v>0</v>
      </c>
      <c r="M28" s="244">
        <v>10805</v>
      </c>
      <c r="N28" s="244">
        <v>0</v>
      </c>
      <c r="O28" s="244">
        <v>0</v>
      </c>
      <c r="P28" s="244">
        <v>0</v>
      </c>
      <c r="Q28" s="244">
        <v>7751</v>
      </c>
      <c r="R28" s="244">
        <v>45022</v>
      </c>
      <c r="S28" s="244">
        <v>4277.5</v>
      </c>
      <c r="T28" s="244">
        <v>800</v>
      </c>
      <c r="U28" s="244">
        <v>0</v>
      </c>
      <c r="V28" s="244">
        <v>0</v>
      </c>
      <c r="W28" s="244">
        <v>0</v>
      </c>
      <c r="X28" s="213">
        <v>16545</v>
      </c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29">
        <f t="shared" si="0"/>
        <v>109281.63</v>
      </c>
      <c r="AP28" s="37">
        <f t="shared" si="4"/>
        <v>23921</v>
      </c>
      <c r="AQ28" s="37">
        <f t="shared" si="4"/>
        <v>0</v>
      </c>
      <c r="AR28" s="37">
        <f t="shared" si="4"/>
        <v>45022</v>
      </c>
      <c r="AS28" s="37">
        <f t="shared" si="4"/>
        <v>800</v>
      </c>
      <c r="AT28" s="37">
        <f t="shared" si="4"/>
        <v>0</v>
      </c>
      <c r="AU28" s="37">
        <f t="shared" si="4"/>
        <v>0</v>
      </c>
      <c r="AV28" s="37">
        <f t="shared" si="4"/>
        <v>7455.63</v>
      </c>
      <c r="AW28" s="37">
        <f t="shared" si="4"/>
        <v>32083</v>
      </c>
      <c r="AX28" s="37">
        <f t="shared" si="4"/>
        <v>0</v>
      </c>
      <c r="AY28" s="64">
        <f t="shared" si="2"/>
        <v>0</v>
      </c>
    </row>
    <row r="29" spans="1:51">
      <c r="A29" s="231">
        <v>2092</v>
      </c>
      <c r="B29" s="4">
        <v>103209</v>
      </c>
      <c r="C29" s="4" t="s">
        <v>299</v>
      </c>
      <c r="D29" s="4" t="s">
        <v>300</v>
      </c>
      <c r="E29" s="4" t="s">
        <v>5</v>
      </c>
      <c r="F29" s="232" t="s">
        <v>229</v>
      </c>
      <c r="H29" s="211">
        <v>8662</v>
      </c>
      <c r="I29" s="213">
        <v>0</v>
      </c>
      <c r="J29" s="213">
        <v>20371</v>
      </c>
      <c r="K29" s="211">
        <v>4162.5</v>
      </c>
      <c r="L29" s="211">
        <v>0</v>
      </c>
      <c r="M29" s="244">
        <v>16792</v>
      </c>
      <c r="N29" s="244">
        <v>0</v>
      </c>
      <c r="O29" s="244">
        <v>0</v>
      </c>
      <c r="P29" s="244">
        <v>0</v>
      </c>
      <c r="Q29" s="244">
        <v>0</v>
      </c>
      <c r="R29" s="244">
        <v>56772</v>
      </c>
      <c r="S29" s="244">
        <v>5473.75</v>
      </c>
      <c r="T29" s="244">
        <v>0</v>
      </c>
      <c r="U29" s="244">
        <v>0</v>
      </c>
      <c r="V29" s="244">
        <v>0</v>
      </c>
      <c r="W29" s="244">
        <v>0</v>
      </c>
      <c r="X29" s="213">
        <v>0</v>
      </c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29">
        <f t="shared" si="0"/>
        <v>112233.25</v>
      </c>
      <c r="AP29" s="37">
        <f t="shared" si="4"/>
        <v>37163</v>
      </c>
      <c r="AQ29" s="37">
        <f t="shared" si="4"/>
        <v>0</v>
      </c>
      <c r="AR29" s="37">
        <f t="shared" si="4"/>
        <v>56772</v>
      </c>
      <c r="AS29" s="37">
        <f t="shared" si="4"/>
        <v>0</v>
      </c>
      <c r="AT29" s="37">
        <f t="shared" si="4"/>
        <v>0</v>
      </c>
      <c r="AU29" s="37">
        <f t="shared" si="4"/>
        <v>0</v>
      </c>
      <c r="AV29" s="37">
        <f t="shared" si="4"/>
        <v>9636.25</v>
      </c>
      <c r="AW29" s="37">
        <f t="shared" si="4"/>
        <v>8662</v>
      </c>
      <c r="AX29" s="37">
        <f t="shared" si="4"/>
        <v>0</v>
      </c>
      <c r="AY29" s="64">
        <f t="shared" si="2"/>
        <v>0</v>
      </c>
    </row>
    <row r="30" spans="1:51">
      <c r="A30" s="231">
        <v>4201</v>
      </c>
      <c r="B30" s="4">
        <v>103503</v>
      </c>
      <c r="C30" s="4" t="s">
        <v>302</v>
      </c>
      <c r="D30" s="4" t="s">
        <v>303</v>
      </c>
      <c r="E30" s="4" t="s">
        <v>6</v>
      </c>
      <c r="F30" s="232" t="s">
        <v>229</v>
      </c>
      <c r="H30" s="211">
        <v>0</v>
      </c>
      <c r="I30" s="213">
        <v>0</v>
      </c>
      <c r="J30" s="213">
        <v>81612</v>
      </c>
      <c r="K30" s="211">
        <v>15946.88</v>
      </c>
      <c r="L30" s="211">
        <v>0</v>
      </c>
      <c r="M30" s="244">
        <v>65532</v>
      </c>
      <c r="N30" s="244">
        <v>0</v>
      </c>
      <c r="O30" s="244">
        <v>0</v>
      </c>
      <c r="P30" s="244">
        <v>0</v>
      </c>
      <c r="Q30" s="244">
        <v>0</v>
      </c>
      <c r="R30" s="244">
        <v>150281</v>
      </c>
      <c r="S30" s="244">
        <v>39502.5</v>
      </c>
      <c r="T30" s="244">
        <v>0</v>
      </c>
      <c r="U30" s="244">
        <v>0</v>
      </c>
      <c r="V30" s="244">
        <v>0</v>
      </c>
      <c r="W30" s="244">
        <v>0</v>
      </c>
      <c r="X30" s="213">
        <v>0</v>
      </c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29">
        <f t="shared" si="0"/>
        <v>352874.38</v>
      </c>
      <c r="AP30" s="37">
        <f t="shared" si="4"/>
        <v>147144</v>
      </c>
      <c r="AQ30" s="37">
        <f t="shared" si="4"/>
        <v>0</v>
      </c>
      <c r="AR30" s="37">
        <f t="shared" si="4"/>
        <v>150281</v>
      </c>
      <c r="AS30" s="37">
        <f t="shared" si="4"/>
        <v>0</v>
      </c>
      <c r="AT30" s="37">
        <f t="shared" si="4"/>
        <v>0</v>
      </c>
      <c r="AU30" s="37">
        <f t="shared" si="4"/>
        <v>0</v>
      </c>
      <c r="AV30" s="37">
        <f t="shared" si="4"/>
        <v>55449.38</v>
      </c>
      <c r="AW30" s="37">
        <f t="shared" si="4"/>
        <v>0</v>
      </c>
      <c r="AX30" s="37">
        <f t="shared" si="4"/>
        <v>0</v>
      </c>
      <c r="AY30" s="64">
        <f t="shared" si="2"/>
        <v>0</v>
      </c>
    </row>
    <row r="31" spans="1:51">
      <c r="A31" s="231">
        <v>4015</v>
      </c>
      <c r="B31" s="4">
        <v>103483</v>
      </c>
      <c r="C31" s="4" t="s">
        <v>305</v>
      </c>
      <c r="D31" s="4" t="s">
        <v>306</v>
      </c>
      <c r="E31" s="4" t="s">
        <v>6</v>
      </c>
      <c r="F31" s="232" t="s">
        <v>229</v>
      </c>
      <c r="H31" s="211">
        <v>0</v>
      </c>
      <c r="I31" s="213">
        <v>0</v>
      </c>
      <c r="J31" s="213">
        <v>49593</v>
      </c>
      <c r="K31" s="211">
        <v>9140.6299999999992</v>
      </c>
      <c r="L31" s="211">
        <v>0</v>
      </c>
      <c r="M31" s="244">
        <v>39873</v>
      </c>
      <c r="N31" s="244">
        <v>0</v>
      </c>
      <c r="O31" s="244">
        <v>0</v>
      </c>
      <c r="P31" s="244">
        <v>0</v>
      </c>
      <c r="Q31" s="244">
        <v>0</v>
      </c>
      <c r="R31" s="244">
        <v>85430</v>
      </c>
      <c r="S31" s="244">
        <v>22356</v>
      </c>
      <c r="T31" s="244">
        <v>0</v>
      </c>
      <c r="U31" s="244">
        <v>0</v>
      </c>
      <c r="V31" s="244">
        <v>0</v>
      </c>
      <c r="W31" s="244">
        <v>0</v>
      </c>
      <c r="X31" s="213">
        <v>0</v>
      </c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29">
        <f t="shared" si="0"/>
        <v>206392.63</v>
      </c>
      <c r="AP31" s="37">
        <f t="shared" si="4"/>
        <v>89466</v>
      </c>
      <c r="AQ31" s="37">
        <f t="shared" si="4"/>
        <v>0</v>
      </c>
      <c r="AR31" s="37">
        <f t="shared" si="4"/>
        <v>85430</v>
      </c>
      <c r="AS31" s="37">
        <f t="shared" si="4"/>
        <v>0</v>
      </c>
      <c r="AT31" s="37">
        <f t="shared" si="4"/>
        <v>0</v>
      </c>
      <c r="AU31" s="37">
        <f t="shared" si="4"/>
        <v>0</v>
      </c>
      <c r="AV31" s="37">
        <f t="shared" si="4"/>
        <v>31496.629999999997</v>
      </c>
      <c r="AW31" s="37">
        <f t="shared" si="4"/>
        <v>0</v>
      </c>
      <c r="AX31" s="37">
        <f t="shared" si="4"/>
        <v>0</v>
      </c>
      <c r="AY31" s="64">
        <f t="shared" si="2"/>
        <v>0</v>
      </c>
    </row>
    <row r="32" spans="1:51">
      <c r="A32" s="231">
        <v>4223</v>
      </c>
      <c r="B32" s="4">
        <v>103509</v>
      </c>
      <c r="C32" s="4" t="s">
        <v>308</v>
      </c>
      <c r="D32" s="4" t="s">
        <v>309</v>
      </c>
      <c r="E32" s="4" t="s">
        <v>6</v>
      </c>
      <c r="F32" s="232" t="s">
        <v>229</v>
      </c>
      <c r="H32" s="211">
        <v>0</v>
      </c>
      <c r="I32" s="213">
        <v>0</v>
      </c>
      <c r="J32" s="213">
        <v>73383</v>
      </c>
      <c r="K32" s="211">
        <v>18590.63</v>
      </c>
      <c r="L32" s="211">
        <v>0</v>
      </c>
      <c r="M32" s="244">
        <v>58853</v>
      </c>
      <c r="N32" s="244">
        <v>0</v>
      </c>
      <c r="O32" s="244">
        <v>0</v>
      </c>
      <c r="P32" s="244">
        <v>0</v>
      </c>
      <c r="Q32" s="244">
        <v>0</v>
      </c>
      <c r="R32" s="244">
        <v>148876</v>
      </c>
      <c r="S32" s="244">
        <v>39088.5</v>
      </c>
      <c r="T32" s="244">
        <v>0</v>
      </c>
      <c r="U32" s="244">
        <v>20154</v>
      </c>
      <c r="V32" s="244">
        <v>0</v>
      </c>
      <c r="W32" s="244">
        <v>0</v>
      </c>
      <c r="X32" s="213">
        <v>0</v>
      </c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29">
        <f t="shared" si="0"/>
        <v>358945.13</v>
      </c>
      <c r="AP32" s="37">
        <f t="shared" si="4"/>
        <v>152390</v>
      </c>
      <c r="AQ32" s="37">
        <f t="shared" si="4"/>
        <v>0</v>
      </c>
      <c r="AR32" s="37">
        <f t="shared" si="4"/>
        <v>148876</v>
      </c>
      <c r="AS32" s="37">
        <f t="shared" si="4"/>
        <v>0</v>
      </c>
      <c r="AT32" s="37">
        <f t="shared" si="4"/>
        <v>0</v>
      </c>
      <c r="AU32" s="37">
        <f t="shared" si="4"/>
        <v>0</v>
      </c>
      <c r="AV32" s="37">
        <f t="shared" si="4"/>
        <v>57679.130000000005</v>
      </c>
      <c r="AW32" s="37">
        <f t="shared" si="4"/>
        <v>0</v>
      </c>
      <c r="AX32" s="37">
        <f t="shared" si="4"/>
        <v>0</v>
      </c>
      <c r="AY32" s="64">
        <f t="shared" si="2"/>
        <v>0</v>
      </c>
    </row>
    <row r="33" spans="1:51">
      <c r="A33" s="231">
        <v>2015</v>
      </c>
      <c r="B33" s="4">
        <v>134102</v>
      </c>
      <c r="C33" s="4" t="s">
        <v>311</v>
      </c>
      <c r="D33" s="4" t="s">
        <v>312</v>
      </c>
      <c r="E33" s="4" t="s">
        <v>5</v>
      </c>
      <c r="F33" s="232" t="s">
        <v>229</v>
      </c>
      <c r="H33" s="211">
        <v>8121</v>
      </c>
      <c r="I33" s="213">
        <v>0</v>
      </c>
      <c r="J33" s="213">
        <v>19328</v>
      </c>
      <c r="K33" s="211">
        <v>4921.88</v>
      </c>
      <c r="L33" s="211">
        <v>0</v>
      </c>
      <c r="M33" s="244">
        <v>15915</v>
      </c>
      <c r="N33" s="244">
        <v>0</v>
      </c>
      <c r="O33" s="244">
        <v>0</v>
      </c>
      <c r="P33" s="244">
        <v>0</v>
      </c>
      <c r="Q33" s="244">
        <v>18828</v>
      </c>
      <c r="R33" s="244">
        <v>72792</v>
      </c>
      <c r="S33" s="244">
        <v>7105</v>
      </c>
      <c r="T33" s="244">
        <v>800</v>
      </c>
      <c r="U33" s="244">
        <v>0</v>
      </c>
      <c r="V33" s="244">
        <v>0</v>
      </c>
      <c r="W33" s="244">
        <v>0</v>
      </c>
      <c r="X33" s="213">
        <v>27341</v>
      </c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29">
        <f t="shared" si="0"/>
        <v>175151.88</v>
      </c>
      <c r="AP33" s="37">
        <f t="shared" si="4"/>
        <v>35243</v>
      </c>
      <c r="AQ33" s="37">
        <f t="shared" si="4"/>
        <v>0</v>
      </c>
      <c r="AR33" s="37">
        <f t="shared" si="4"/>
        <v>72792</v>
      </c>
      <c r="AS33" s="37">
        <f t="shared" si="4"/>
        <v>800</v>
      </c>
      <c r="AT33" s="37">
        <f t="shared" si="4"/>
        <v>0</v>
      </c>
      <c r="AU33" s="37">
        <f t="shared" si="4"/>
        <v>0</v>
      </c>
      <c r="AV33" s="37">
        <f t="shared" si="4"/>
        <v>12026.880000000001</v>
      </c>
      <c r="AW33" s="37">
        <f t="shared" si="4"/>
        <v>54290</v>
      </c>
      <c r="AX33" s="37">
        <f t="shared" si="4"/>
        <v>0</v>
      </c>
      <c r="AY33" s="64">
        <f t="shared" si="2"/>
        <v>0</v>
      </c>
    </row>
    <row r="34" spans="1:51">
      <c r="A34" s="231">
        <v>2462</v>
      </c>
      <c r="B34" s="4">
        <v>103388</v>
      </c>
      <c r="C34" s="4" t="s">
        <v>314</v>
      </c>
      <c r="D34" s="4" t="s">
        <v>315</v>
      </c>
      <c r="E34" s="4" t="s">
        <v>5</v>
      </c>
      <c r="F34" s="232" t="s">
        <v>229</v>
      </c>
      <c r="H34" s="211">
        <v>8175</v>
      </c>
      <c r="I34" s="213">
        <v>0</v>
      </c>
      <c r="J34" s="213">
        <v>15247</v>
      </c>
      <c r="K34" s="211">
        <v>928.13</v>
      </c>
      <c r="L34" s="211">
        <v>0</v>
      </c>
      <c r="M34" s="244">
        <v>12592</v>
      </c>
      <c r="N34" s="244">
        <v>0</v>
      </c>
      <c r="O34" s="244">
        <v>0</v>
      </c>
      <c r="P34" s="244">
        <v>0</v>
      </c>
      <c r="Q34" s="244">
        <v>34369</v>
      </c>
      <c r="R34" s="244">
        <v>13010</v>
      </c>
      <c r="S34" s="244">
        <v>1475</v>
      </c>
      <c r="T34" s="244">
        <v>800</v>
      </c>
      <c r="U34" s="244">
        <v>0</v>
      </c>
      <c r="V34" s="244">
        <v>0</v>
      </c>
      <c r="W34" s="244">
        <v>0</v>
      </c>
      <c r="X34" s="213">
        <v>47530</v>
      </c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29">
        <f t="shared" si="0"/>
        <v>134126.13</v>
      </c>
      <c r="AP34" s="37">
        <f t="shared" si="4"/>
        <v>27839</v>
      </c>
      <c r="AQ34" s="37">
        <f t="shared" si="4"/>
        <v>0</v>
      </c>
      <c r="AR34" s="37">
        <f t="shared" si="4"/>
        <v>13010</v>
      </c>
      <c r="AS34" s="37">
        <f t="shared" si="4"/>
        <v>800</v>
      </c>
      <c r="AT34" s="37">
        <f t="shared" si="4"/>
        <v>0</v>
      </c>
      <c r="AU34" s="37">
        <f t="shared" si="4"/>
        <v>0</v>
      </c>
      <c r="AV34" s="37">
        <f t="shared" si="4"/>
        <v>2403.13</v>
      </c>
      <c r="AW34" s="37">
        <f t="shared" si="4"/>
        <v>90074</v>
      </c>
      <c r="AX34" s="37">
        <f t="shared" si="4"/>
        <v>0</v>
      </c>
      <c r="AY34" s="64">
        <f t="shared" si="2"/>
        <v>0</v>
      </c>
    </row>
    <row r="35" spans="1:51">
      <c r="A35" s="231">
        <v>2127</v>
      </c>
      <c r="B35" s="4">
        <v>103227</v>
      </c>
      <c r="C35" s="4" t="s">
        <v>317</v>
      </c>
      <c r="D35" s="4" t="s">
        <v>318</v>
      </c>
      <c r="E35" s="4" t="s">
        <v>5</v>
      </c>
      <c r="F35" s="232" t="s">
        <v>229</v>
      </c>
      <c r="H35" s="211">
        <v>8167</v>
      </c>
      <c r="I35" s="213">
        <v>0</v>
      </c>
      <c r="J35" s="213">
        <v>20938</v>
      </c>
      <c r="K35" s="211">
        <v>6159.38</v>
      </c>
      <c r="L35" s="211">
        <v>0</v>
      </c>
      <c r="M35" s="244">
        <v>17231</v>
      </c>
      <c r="N35" s="244">
        <v>0</v>
      </c>
      <c r="O35" s="244">
        <v>0</v>
      </c>
      <c r="P35" s="244">
        <v>0</v>
      </c>
      <c r="Q35" s="244">
        <v>14922</v>
      </c>
      <c r="R35" s="244">
        <v>90650</v>
      </c>
      <c r="S35" s="244">
        <v>8881.25</v>
      </c>
      <c r="T35" s="244">
        <v>400</v>
      </c>
      <c r="U35" s="244">
        <v>0</v>
      </c>
      <c r="V35" s="244">
        <v>0</v>
      </c>
      <c r="W35" s="244">
        <v>3598</v>
      </c>
      <c r="X35" s="213">
        <v>22854</v>
      </c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29">
        <f t="shared" si="0"/>
        <v>193800.63</v>
      </c>
      <c r="AP35" s="37">
        <f t="shared" si="4"/>
        <v>41767</v>
      </c>
      <c r="AQ35" s="37">
        <f t="shared" si="4"/>
        <v>0</v>
      </c>
      <c r="AR35" s="37">
        <f t="shared" si="4"/>
        <v>90650</v>
      </c>
      <c r="AS35" s="37">
        <f t="shared" si="4"/>
        <v>400</v>
      </c>
      <c r="AT35" s="37">
        <f t="shared" si="4"/>
        <v>0</v>
      </c>
      <c r="AU35" s="37">
        <f t="shared" si="4"/>
        <v>0</v>
      </c>
      <c r="AV35" s="37">
        <f t="shared" si="4"/>
        <v>15040.630000000001</v>
      </c>
      <c r="AW35" s="37">
        <f t="shared" si="4"/>
        <v>45943</v>
      </c>
      <c r="AX35" s="37">
        <f t="shared" si="4"/>
        <v>0</v>
      </c>
      <c r="AY35" s="64">
        <f t="shared" si="2"/>
        <v>0</v>
      </c>
    </row>
    <row r="36" spans="1:51">
      <c r="A36" s="231">
        <v>2129</v>
      </c>
      <c r="B36" s="4">
        <v>103229</v>
      </c>
      <c r="C36" s="4" t="s">
        <v>320</v>
      </c>
      <c r="D36" s="4" t="s">
        <v>321</v>
      </c>
      <c r="E36" s="4" t="s">
        <v>5</v>
      </c>
      <c r="F36" s="232" t="s">
        <v>229</v>
      </c>
      <c r="H36" s="211">
        <v>7442</v>
      </c>
      <c r="I36" s="213">
        <v>0</v>
      </c>
      <c r="J36" s="213">
        <v>10932</v>
      </c>
      <c r="K36" s="211">
        <v>1637.5</v>
      </c>
      <c r="L36" s="211">
        <v>0</v>
      </c>
      <c r="M36" s="244">
        <v>9016</v>
      </c>
      <c r="N36" s="244">
        <v>0</v>
      </c>
      <c r="O36" s="244">
        <v>0</v>
      </c>
      <c r="P36" s="244">
        <v>0</v>
      </c>
      <c r="Q36" s="244">
        <v>32808</v>
      </c>
      <c r="R36" s="244">
        <v>22187</v>
      </c>
      <c r="S36" s="244">
        <v>2910.5</v>
      </c>
      <c r="T36" s="244">
        <v>0</v>
      </c>
      <c r="U36" s="244">
        <v>0</v>
      </c>
      <c r="V36" s="244">
        <v>0</v>
      </c>
      <c r="W36" s="244">
        <v>0</v>
      </c>
      <c r="X36" s="213">
        <v>49072</v>
      </c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29">
        <f t="shared" si="0"/>
        <v>136005</v>
      </c>
      <c r="AP36" s="37">
        <f t="shared" si="4"/>
        <v>19948</v>
      </c>
      <c r="AQ36" s="37">
        <f t="shared" si="4"/>
        <v>0</v>
      </c>
      <c r="AR36" s="37">
        <f t="shared" si="4"/>
        <v>22187</v>
      </c>
      <c r="AS36" s="37">
        <f t="shared" si="4"/>
        <v>0</v>
      </c>
      <c r="AT36" s="37">
        <f t="shared" si="4"/>
        <v>0</v>
      </c>
      <c r="AU36" s="37">
        <f t="shared" si="4"/>
        <v>0</v>
      </c>
      <c r="AV36" s="37">
        <f t="shared" si="4"/>
        <v>4548</v>
      </c>
      <c r="AW36" s="37">
        <f t="shared" si="4"/>
        <v>89322</v>
      </c>
      <c r="AX36" s="37">
        <f t="shared" si="4"/>
        <v>0</v>
      </c>
      <c r="AY36" s="64">
        <f t="shared" si="2"/>
        <v>0</v>
      </c>
    </row>
    <row r="37" spans="1:51">
      <c r="A37" s="231">
        <v>2128</v>
      </c>
      <c r="B37" s="4">
        <v>103228</v>
      </c>
      <c r="C37" s="4" t="s">
        <v>323</v>
      </c>
      <c r="D37" s="4" t="s">
        <v>324</v>
      </c>
      <c r="E37" s="4" t="s">
        <v>5</v>
      </c>
      <c r="F37" s="232" t="s">
        <v>229</v>
      </c>
      <c r="H37" s="211">
        <v>8175</v>
      </c>
      <c r="I37" s="213">
        <v>0</v>
      </c>
      <c r="J37" s="213">
        <v>16035</v>
      </c>
      <c r="K37" s="211">
        <v>3556.25</v>
      </c>
      <c r="L37" s="211">
        <v>0</v>
      </c>
      <c r="M37" s="244">
        <v>13216</v>
      </c>
      <c r="N37" s="244">
        <v>0</v>
      </c>
      <c r="O37" s="244">
        <v>0</v>
      </c>
      <c r="P37" s="244">
        <v>1200</v>
      </c>
      <c r="Q37" s="244">
        <v>0</v>
      </c>
      <c r="R37" s="244">
        <v>45685</v>
      </c>
      <c r="S37" s="244">
        <v>4422.5</v>
      </c>
      <c r="T37" s="244">
        <v>0</v>
      </c>
      <c r="U37" s="244">
        <v>0</v>
      </c>
      <c r="V37" s="244">
        <v>0</v>
      </c>
      <c r="W37" s="244">
        <v>0</v>
      </c>
      <c r="X37" s="213">
        <v>0</v>
      </c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29">
        <f t="shared" si="0"/>
        <v>92289.75</v>
      </c>
      <c r="AP37" s="37">
        <f t="shared" ref="AP37:AX46" si="5">SUMIF($H$3:$AM$3,AP$6,$H37:$AM37)</f>
        <v>29251</v>
      </c>
      <c r="AQ37" s="37">
        <f t="shared" si="5"/>
        <v>0</v>
      </c>
      <c r="AR37" s="37">
        <f t="shared" si="5"/>
        <v>45685</v>
      </c>
      <c r="AS37" s="37">
        <f t="shared" si="5"/>
        <v>1200</v>
      </c>
      <c r="AT37" s="37">
        <f t="shared" si="5"/>
        <v>0</v>
      </c>
      <c r="AU37" s="37">
        <f t="shared" si="5"/>
        <v>0</v>
      </c>
      <c r="AV37" s="37">
        <f t="shared" si="5"/>
        <v>7978.75</v>
      </c>
      <c r="AW37" s="37">
        <f t="shared" si="5"/>
        <v>8175</v>
      </c>
      <c r="AX37" s="37">
        <f t="shared" si="5"/>
        <v>0</v>
      </c>
      <c r="AY37" s="64">
        <f t="shared" si="2"/>
        <v>0</v>
      </c>
    </row>
    <row r="38" spans="1:51">
      <c r="A38" s="231">
        <v>2133</v>
      </c>
      <c r="B38" s="4">
        <v>103233</v>
      </c>
      <c r="C38" s="4" t="s">
        <v>326</v>
      </c>
      <c r="D38" s="4" t="s">
        <v>327</v>
      </c>
      <c r="E38" s="4" t="s">
        <v>5</v>
      </c>
      <c r="F38" s="232" t="s">
        <v>229</v>
      </c>
      <c r="H38" s="211">
        <v>8158</v>
      </c>
      <c r="I38" s="213">
        <v>0</v>
      </c>
      <c r="J38" s="213">
        <v>18980</v>
      </c>
      <c r="K38" s="211">
        <v>4753.13</v>
      </c>
      <c r="L38" s="211">
        <v>0</v>
      </c>
      <c r="M38" s="244">
        <v>15635</v>
      </c>
      <c r="N38" s="244">
        <v>0</v>
      </c>
      <c r="O38" s="244">
        <v>0</v>
      </c>
      <c r="P38" s="244">
        <v>0</v>
      </c>
      <c r="Q38" s="244">
        <v>26077</v>
      </c>
      <c r="R38" s="244">
        <v>69792</v>
      </c>
      <c r="S38" s="244">
        <v>7051.25</v>
      </c>
      <c r="T38" s="244">
        <v>600</v>
      </c>
      <c r="U38" s="244">
        <v>0</v>
      </c>
      <c r="V38" s="244">
        <v>0</v>
      </c>
      <c r="W38" s="244">
        <v>0</v>
      </c>
      <c r="X38" s="213">
        <v>32388</v>
      </c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29">
        <f t="shared" si="0"/>
        <v>183434.38</v>
      </c>
      <c r="AP38" s="37">
        <f t="shared" si="5"/>
        <v>34615</v>
      </c>
      <c r="AQ38" s="37">
        <f t="shared" si="5"/>
        <v>0</v>
      </c>
      <c r="AR38" s="37">
        <f t="shared" si="5"/>
        <v>69792</v>
      </c>
      <c r="AS38" s="37">
        <f t="shared" si="5"/>
        <v>600</v>
      </c>
      <c r="AT38" s="37">
        <f t="shared" si="5"/>
        <v>0</v>
      </c>
      <c r="AU38" s="37">
        <f t="shared" si="5"/>
        <v>0</v>
      </c>
      <c r="AV38" s="37">
        <f t="shared" si="5"/>
        <v>11804.380000000001</v>
      </c>
      <c r="AW38" s="37">
        <f t="shared" si="5"/>
        <v>66623</v>
      </c>
      <c r="AX38" s="37">
        <f t="shared" si="5"/>
        <v>0</v>
      </c>
      <c r="AY38" s="64">
        <f t="shared" si="2"/>
        <v>0</v>
      </c>
    </row>
    <row r="39" spans="1:51">
      <c r="A39" s="231">
        <v>3322</v>
      </c>
      <c r="B39" s="4">
        <v>103426</v>
      </c>
      <c r="C39" s="4" t="s">
        <v>329</v>
      </c>
      <c r="D39" s="4" t="s">
        <v>330</v>
      </c>
      <c r="E39" s="4" t="s">
        <v>5</v>
      </c>
      <c r="F39" s="232" t="s">
        <v>229</v>
      </c>
      <c r="H39" s="211">
        <v>7408</v>
      </c>
      <c r="I39" s="213">
        <v>0</v>
      </c>
      <c r="J39" s="213">
        <v>9556</v>
      </c>
      <c r="K39" s="211">
        <v>2025</v>
      </c>
      <c r="L39" s="211">
        <v>0</v>
      </c>
      <c r="M39" s="244">
        <v>7875</v>
      </c>
      <c r="N39" s="244">
        <v>0</v>
      </c>
      <c r="O39" s="244">
        <v>0</v>
      </c>
      <c r="P39" s="244">
        <v>0</v>
      </c>
      <c r="Q39" s="244">
        <v>9674</v>
      </c>
      <c r="R39" s="244">
        <v>27925</v>
      </c>
      <c r="S39" s="244">
        <v>2682.5</v>
      </c>
      <c r="T39" s="244">
        <v>200</v>
      </c>
      <c r="U39" s="244">
        <v>0</v>
      </c>
      <c r="V39" s="244">
        <v>0</v>
      </c>
      <c r="W39" s="244">
        <v>0</v>
      </c>
      <c r="X39" s="213">
        <v>15704</v>
      </c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29">
        <f t="shared" ref="AN39:AN69" si="6">SUM(H39:AM39)</f>
        <v>83049.5</v>
      </c>
      <c r="AP39" s="37">
        <f t="shared" si="5"/>
        <v>17431</v>
      </c>
      <c r="AQ39" s="37">
        <f t="shared" si="5"/>
        <v>0</v>
      </c>
      <c r="AR39" s="37">
        <f t="shared" si="5"/>
        <v>27925</v>
      </c>
      <c r="AS39" s="37">
        <f t="shared" si="5"/>
        <v>200</v>
      </c>
      <c r="AT39" s="37">
        <f t="shared" si="5"/>
        <v>0</v>
      </c>
      <c r="AU39" s="37">
        <f t="shared" si="5"/>
        <v>0</v>
      </c>
      <c r="AV39" s="37">
        <f t="shared" si="5"/>
        <v>4707.5</v>
      </c>
      <c r="AW39" s="37">
        <f t="shared" si="5"/>
        <v>32786</v>
      </c>
      <c r="AX39" s="37">
        <f t="shared" si="5"/>
        <v>0</v>
      </c>
      <c r="AY39" s="64">
        <f t="shared" si="2"/>
        <v>0</v>
      </c>
    </row>
    <row r="40" spans="1:51">
      <c r="A40" s="231">
        <v>2416</v>
      </c>
      <c r="B40" s="4">
        <v>103351</v>
      </c>
      <c r="C40" s="4" t="s">
        <v>332</v>
      </c>
      <c r="D40" s="4" t="s">
        <v>333</v>
      </c>
      <c r="E40" s="4" t="s">
        <v>5</v>
      </c>
      <c r="F40" s="232" t="s">
        <v>229</v>
      </c>
      <c r="H40" s="211">
        <v>7954</v>
      </c>
      <c r="I40" s="213">
        <v>0</v>
      </c>
      <c r="J40" s="213">
        <v>14544</v>
      </c>
      <c r="K40" s="211">
        <v>1068.75</v>
      </c>
      <c r="L40" s="211">
        <v>0</v>
      </c>
      <c r="M40" s="244">
        <v>12010</v>
      </c>
      <c r="N40" s="244">
        <v>0</v>
      </c>
      <c r="O40" s="244">
        <v>0</v>
      </c>
      <c r="P40" s="244">
        <v>0</v>
      </c>
      <c r="Q40" s="244">
        <v>35231</v>
      </c>
      <c r="R40" s="244">
        <v>15877</v>
      </c>
      <c r="S40" s="244">
        <v>1413.75</v>
      </c>
      <c r="T40" s="244">
        <v>800</v>
      </c>
      <c r="U40" s="244">
        <v>0</v>
      </c>
      <c r="V40" s="244">
        <v>0</v>
      </c>
      <c r="W40" s="244">
        <v>0</v>
      </c>
      <c r="X40" s="213">
        <v>45988</v>
      </c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29">
        <f t="shared" si="6"/>
        <v>134886.5</v>
      </c>
      <c r="AP40" s="37">
        <f t="shared" si="5"/>
        <v>26554</v>
      </c>
      <c r="AQ40" s="37">
        <f t="shared" si="5"/>
        <v>0</v>
      </c>
      <c r="AR40" s="37">
        <f t="shared" si="5"/>
        <v>15877</v>
      </c>
      <c r="AS40" s="37">
        <f t="shared" si="5"/>
        <v>800</v>
      </c>
      <c r="AT40" s="37">
        <f t="shared" si="5"/>
        <v>0</v>
      </c>
      <c r="AU40" s="37">
        <f t="shared" si="5"/>
        <v>0</v>
      </c>
      <c r="AV40" s="37">
        <f t="shared" si="5"/>
        <v>2482.5</v>
      </c>
      <c r="AW40" s="37">
        <f t="shared" si="5"/>
        <v>89173</v>
      </c>
      <c r="AX40" s="37">
        <f t="shared" si="5"/>
        <v>0</v>
      </c>
      <c r="AY40" s="64">
        <f t="shared" si="2"/>
        <v>0</v>
      </c>
    </row>
    <row r="41" spans="1:51">
      <c r="A41" s="231">
        <v>4245</v>
      </c>
      <c r="B41" s="4">
        <v>103519</v>
      </c>
      <c r="C41" s="4" t="s">
        <v>335</v>
      </c>
      <c r="D41" s="4" t="s">
        <v>336</v>
      </c>
      <c r="E41" s="4" t="s">
        <v>6</v>
      </c>
      <c r="F41" s="232" t="s">
        <v>229</v>
      </c>
      <c r="H41" s="211">
        <v>0</v>
      </c>
      <c r="I41" s="213">
        <v>0</v>
      </c>
      <c r="J41" s="213">
        <v>89584</v>
      </c>
      <c r="K41" s="211">
        <v>20221.88</v>
      </c>
      <c r="L41" s="211">
        <v>0</v>
      </c>
      <c r="M41" s="244">
        <v>71771</v>
      </c>
      <c r="N41" s="244">
        <v>1200</v>
      </c>
      <c r="O41" s="244">
        <v>0</v>
      </c>
      <c r="P41" s="244">
        <v>0</v>
      </c>
      <c r="Q41" s="244">
        <v>0</v>
      </c>
      <c r="R41" s="244">
        <v>186637</v>
      </c>
      <c r="S41" s="244">
        <v>49059</v>
      </c>
      <c r="T41" s="244">
        <v>0</v>
      </c>
      <c r="U41" s="244">
        <v>28855</v>
      </c>
      <c r="V41" s="244">
        <v>0</v>
      </c>
      <c r="W41" s="244">
        <v>0</v>
      </c>
      <c r="X41" s="213">
        <v>0</v>
      </c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29">
        <f t="shared" si="6"/>
        <v>447327.88</v>
      </c>
      <c r="AP41" s="37">
        <f t="shared" si="5"/>
        <v>190210</v>
      </c>
      <c r="AQ41" s="37">
        <f t="shared" si="5"/>
        <v>0</v>
      </c>
      <c r="AR41" s="37">
        <f t="shared" si="5"/>
        <v>186637</v>
      </c>
      <c r="AS41" s="37">
        <f t="shared" si="5"/>
        <v>1200</v>
      </c>
      <c r="AT41" s="37">
        <f t="shared" si="5"/>
        <v>0</v>
      </c>
      <c r="AU41" s="37">
        <f t="shared" si="5"/>
        <v>0</v>
      </c>
      <c r="AV41" s="37">
        <f t="shared" si="5"/>
        <v>69280.88</v>
      </c>
      <c r="AW41" s="37">
        <f t="shared" si="5"/>
        <v>0</v>
      </c>
      <c r="AX41" s="37">
        <f t="shared" si="5"/>
        <v>0</v>
      </c>
      <c r="AY41" s="64">
        <f t="shared" si="2"/>
        <v>0</v>
      </c>
    </row>
    <row r="42" spans="1:51">
      <c r="A42" s="231">
        <v>7053</v>
      </c>
      <c r="B42" s="4">
        <v>103628</v>
      </c>
      <c r="C42" s="4" t="s">
        <v>338</v>
      </c>
      <c r="D42" s="4" t="s">
        <v>339</v>
      </c>
      <c r="E42" s="4" t="s">
        <v>1093</v>
      </c>
      <c r="F42" s="232" t="s">
        <v>229</v>
      </c>
      <c r="H42" s="211">
        <v>0</v>
      </c>
      <c r="I42" s="213">
        <v>107665.81</v>
      </c>
      <c r="J42" s="213">
        <v>0</v>
      </c>
      <c r="K42" s="211">
        <v>6021.88</v>
      </c>
      <c r="L42" s="211">
        <v>0</v>
      </c>
      <c r="M42" s="244">
        <v>0</v>
      </c>
      <c r="N42" s="244">
        <v>0</v>
      </c>
      <c r="O42" s="244">
        <v>0</v>
      </c>
      <c r="P42" s="244">
        <v>0</v>
      </c>
      <c r="Q42" s="244">
        <v>0</v>
      </c>
      <c r="R42" s="244">
        <v>23625</v>
      </c>
      <c r="S42" s="244">
        <v>20424</v>
      </c>
      <c r="T42" s="244">
        <v>400</v>
      </c>
      <c r="U42" s="244">
        <v>0</v>
      </c>
      <c r="V42" s="244">
        <v>80704.12</v>
      </c>
      <c r="W42" s="244">
        <v>0</v>
      </c>
      <c r="X42" s="213">
        <v>0</v>
      </c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29">
        <f t="shared" si="6"/>
        <v>238840.81</v>
      </c>
      <c r="AP42" s="37">
        <f t="shared" si="5"/>
        <v>188369.93</v>
      </c>
      <c r="AQ42" s="37">
        <f t="shared" si="5"/>
        <v>0</v>
      </c>
      <c r="AR42" s="37">
        <f t="shared" si="5"/>
        <v>23625</v>
      </c>
      <c r="AS42" s="37">
        <f t="shared" si="5"/>
        <v>400</v>
      </c>
      <c r="AT42" s="37">
        <f t="shared" si="5"/>
        <v>0</v>
      </c>
      <c r="AU42" s="37">
        <f t="shared" si="5"/>
        <v>0</v>
      </c>
      <c r="AV42" s="37">
        <f t="shared" si="5"/>
        <v>26445.88</v>
      </c>
      <c r="AW42" s="37">
        <f t="shared" si="5"/>
        <v>0</v>
      </c>
      <c r="AX42" s="37">
        <f t="shared" si="5"/>
        <v>0</v>
      </c>
      <c r="AY42" s="64">
        <f t="shared" si="2"/>
        <v>0</v>
      </c>
    </row>
    <row r="43" spans="1:51">
      <c r="A43" s="231">
        <v>4173</v>
      </c>
      <c r="B43" s="4">
        <v>103497</v>
      </c>
      <c r="C43" s="4" t="s">
        <v>341</v>
      </c>
      <c r="D43" s="4" t="s">
        <v>342</v>
      </c>
      <c r="E43" s="4" t="s">
        <v>6</v>
      </c>
      <c r="F43" s="232" t="s">
        <v>229</v>
      </c>
      <c r="H43" s="211">
        <v>0</v>
      </c>
      <c r="I43" s="213">
        <v>0</v>
      </c>
      <c r="J43" s="213">
        <v>55725</v>
      </c>
      <c r="K43" s="211">
        <v>8212.5</v>
      </c>
      <c r="L43" s="211">
        <v>0</v>
      </c>
      <c r="M43" s="244">
        <v>44940</v>
      </c>
      <c r="N43" s="244">
        <v>0</v>
      </c>
      <c r="O43" s="244">
        <v>0</v>
      </c>
      <c r="P43" s="244">
        <v>0</v>
      </c>
      <c r="Q43" s="244">
        <v>0</v>
      </c>
      <c r="R43" s="244">
        <v>85730</v>
      </c>
      <c r="S43" s="244">
        <v>22032.5</v>
      </c>
      <c r="T43" s="244">
        <v>0</v>
      </c>
      <c r="U43" s="244">
        <v>0</v>
      </c>
      <c r="V43" s="244">
        <v>0</v>
      </c>
      <c r="W43" s="244">
        <v>0</v>
      </c>
      <c r="X43" s="213">
        <v>0</v>
      </c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29">
        <f t="shared" si="6"/>
        <v>216640</v>
      </c>
      <c r="AP43" s="37">
        <f t="shared" si="5"/>
        <v>100665</v>
      </c>
      <c r="AQ43" s="37">
        <f t="shared" si="5"/>
        <v>0</v>
      </c>
      <c r="AR43" s="37">
        <f t="shared" si="5"/>
        <v>85730</v>
      </c>
      <c r="AS43" s="37">
        <f t="shared" si="5"/>
        <v>0</v>
      </c>
      <c r="AT43" s="37">
        <f t="shared" si="5"/>
        <v>0</v>
      </c>
      <c r="AU43" s="37">
        <f t="shared" si="5"/>
        <v>0</v>
      </c>
      <c r="AV43" s="37">
        <f t="shared" si="5"/>
        <v>30245</v>
      </c>
      <c r="AW43" s="37">
        <f t="shared" si="5"/>
        <v>0</v>
      </c>
      <c r="AX43" s="37">
        <f t="shared" si="5"/>
        <v>0</v>
      </c>
      <c r="AY43" s="64">
        <f t="shared" si="2"/>
        <v>0</v>
      </c>
    </row>
    <row r="44" spans="1:51">
      <c r="A44" s="231">
        <v>7033</v>
      </c>
      <c r="B44" s="4">
        <v>103613</v>
      </c>
      <c r="C44" s="4" t="s">
        <v>344</v>
      </c>
      <c r="D44" s="4" t="s">
        <v>345</v>
      </c>
      <c r="E44" s="4" t="s">
        <v>1093</v>
      </c>
      <c r="F44" s="232" t="s">
        <v>229</v>
      </c>
      <c r="H44" s="211">
        <v>0</v>
      </c>
      <c r="I44" s="213">
        <v>236266.64</v>
      </c>
      <c r="J44" s="213">
        <v>0</v>
      </c>
      <c r="K44" s="211">
        <v>12190.63</v>
      </c>
      <c r="L44" s="211">
        <v>0</v>
      </c>
      <c r="M44" s="244">
        <v>0</v>
      </c>
      <c r="N44" s="244">
        <v>0</v>
      </c>
      <c r="O44" s="244">
        <v>0</v>
      </c>
      <c r="P44" s="244">
        <v>0</v>
      </c>
      <c r="Q44" s="244">
        <v>0</v>
      </c>
      <c r="R44" s="244">
        <v>48010</v>
      </c>
      <c r="S44" s="244">
        <v>40986</v>
      </c>
      <c r="T44" s="244">
        <v>800</v>
      </c>
      <c r="U44" s="244">
        <v>0</v>
      </c>
      <c r="V44" s="244">
        <v>177100.7</v>
      </c>
      <c r="W44" s="244">
        <v>0</v>
      </c>
      <c r="X44" s="213">
        <v>0</v>
      </c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29">
        <f t="shared" si="6"/>
        <v>515353.97000000003</v>
      </c>
      <c r="AP44" s="37">
        <f t="shared" si="5"/>
        <v>413367.34</v>
      </c>
      <c r="AQ44" s="37">
        <f t="shared" si="5"/>
        <v>0</v>
      </c>
      <c r="AR44" s="37">
        <f t="shared" si="5"/>
        <v>48010</v>
      </c>
      <c r="AS44" s="37">
        <f t="shared" si="5"/>
        <v>800</v>
      </c>
      <c r="AT44" s="37">
        <f t="shared" si="5"/>
        <v>0</v>
      </c>
      <c r="AU44" s="37">
        <f t="shared" si="5"/>
        <v>0</v>
      </c>
      <c r="AV44" s="37">
        <f t="shared" si="5"/>
        <v>53176.63</v>
      </c>
      <c r="AW44" s="37">
        <f t="shared" si="5"/>
        <v>0</v>
      </c>
      <c r="AX44" s="37">
        <f t="shared" si="5"/>
        <v>0</v>
      </c>
      <c r="AY44" s="64">
        <f t="shared" si="2"/>
        <v>0</v>
      </c>
    </row>
    <row r="45" spans="1:51">
      <c r="A45" s="231">
        <v>4177</v>
      </c>
      <c r="B45" s="4">
        <v>103498</v>
      </c>
      <c r="C45" s="4" t="s">
        <v>347</v>
      </c>
      <c r="D45" s="4" t="s">
        <v>348</v>
      </c>
      <c r="E45" s="4" t="s">
        <v>6</v>
      </c>
      <c r="F45" s="232" t="s">
        <v>229</v>
      </c>
      <c r="H45" s="211">
        <v>0</v>
      </c>
      <c r="I45" s="213">
        <v>0</v>
      </c>
      <c r="J45" s="213">
        <v>57116</v>
      </c>
      <c r="K45" s="211">
        <v>12121.88</v>
      </c>
      <c r="L45" s="211">
        <v>0</v>
      </c>
      <c r="M45" s="244">
        <v>45812</v>
      </c>
      <c r="N45" s="244">
        <v>0</v>
      </c>
      <c r="O45" s="244">
        <v>0</v>
      </c>
      <c r="P45" s="244">
        <v>0</v>
      </c>
      <c r="Q45" s="244">
        <v>0</v>
      </c>
      <c r="R45" s="244">
        <v>111825</v>
      </c>
      <c r="S45" s="244">
        <v>29394</v>
      </c>
      <c r="T45" s="244">
        <v>0</v>
      </c>
      <c r="U45" s="244">
        <v>0</v>
      </c>
      <c r="V45" s="244">
        <v>0</v>
      </c>
      <c r="W45" s="244">
        <v>0</v>
      </c>
      <c r="X45" s="213">
        <v>0</v>
      </c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29">
        <f t="shared" si="6"/>
        <v>256268.88</v>
      </c>
      <c r="AP45" s="37">
        <f t="shared" si="5"/>
        <v>102928</v>
      </c>
      <c r="AQ45" s="37">
        <f t="shared" si="5"/>
        <v>0</v>
      </c>
      <c r="AR45" s="37">
        <f t="shared" si="5"/>
        <v>111825</v>
      </c>
      <c r="AS45" s="37">
        <f t="shared" si="5"/>
        <v>0</v>
      </c>
      <c r="AT45" s="37">
        <f t="shared" si="5"/>
        <v>0</v>
      </c>
      <c r="AU45" s="37">
        <f t="shared" si="5"/>
        <v>0</v>
      </c>
      <c r="AV45" s="37">
        <f t="shared" si="5"/>
        <v>41515.879999999997</v>
      </c>
      <c r="AW45" s="37">
        <f t="shared" si="5"/>
        <v>0</v>
      </c>
      <c r="AX45" s="37">
        <f t="shared" si="5"/>
        <v>0</v>
      </c>
      <c r="AY45" s="64">
        <f t="shared" si="2"/>
        <v>0</v>
      </c>
    </row>
    <row r="46" spans="1:51">
      <c r="A46" s="231">
        <v>1038</v>
      </c>
      <c r="B46" s="4">
        <v>103142</v>
      </c>
      <c r="C46" s="4" t="s">
        <v>350</v>
      </c>
      <c r="D46" s="4" t="s">
        <v>351</v>
      </c>
      <c r="E46" s="4" t="s">
        <v>180</v>
      </c>
      <c r="F46" s="232" t="s">
        <v>229</v>
      </c>
      <c r="H46" s="211">
        <v>0</v>
      </c>
      <c r="I46" s="213">
        <v>0</v>
      </c>
      <c r="J46" s="213">
        <v>0</v>
      </c>
      <c r="K46" s="211">
        <v>0</v>
      </c>
      <c r="L46" s="211">
        <v>0</v>
      </c>
      <c r="M46" s="244">
        <v>0</v>
      </c>
      <c r="N46" s="244">
        <v>0</v>
      </c>
      <c r="O46" s="244">
        <v>0</v>
      </c>
      <c r="P46" s="244">
        <v>0</v>
      </c>
      <c r="Q46" s="244">
        <v>0</v>
      </c>
      <c r="R46" s="244">
        <v>0</v>
      </c>
      <c r="S46" s="244">
        <v>0</v>
      </c>
      <c r="T46" s="244">
        <v>0</v>
      </c>
      <c r="U46" s="244">
        <v>0</v>
      </c>
      <c r="V46" s="244">
        <v>0</v>
      </c>
      <c r="W46" s="244">
        <v>0</v>
      </c>
      <c r="X46" s="213">
        <v>0</v>
      </c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29">
        <f t="shared" si="6"/>
        <v>0</v>
      </c>
      <c r="AP46" s="37">
        <f t="shared" si="5"/>
        <v>0</v>
      </c>
      <c r="AQ46" s="37">
        <f t="shared" si="5"/>
        <v>0</v>
      </c>
      <c r="AR46" s="37">
        <f t="shared" si="5"/>
        <v>0</v>
      </c>
      <c r="AS46" s="37">
        <f t="shared" si="5"/>
        <v>0</v>
      </c>
      <c r="AT46" s="37">
        <f t="shared" si="5"/>
        <v>0</v>
      </c>
      <c r="AU46" s="37">
        <f t="shared" si="5"/>
        <v>0</v>
      </c>
      <c r="AV46" s="37">
        <f t="shared" si="5"/>
        <v>0</v>
      </c>
      <c r="AW46" s="37">
        <f t="shared" si="5"/>
        <v>0</v>
      </c>
      <c r="AX46" s="37">
        <f t="shared" si="5"/>
        <v>0</v>
      </c>
      <c r="AY46" s="64">
        <f t="shared" si="2"/>
        <v>0</v>
      </c>
    </row>
    <row r="47" spans="1:51">
      <c r="A47" s="231">
        <v>2174</v>
      </c>
      <c r="B47" s="4">
        <v>103255</v>
      </c>
      <c r="C47" s="4" t="s">
        <v>353</v>
      </c>
      <c r="D47" s="4" t="s">
        <v>354</v>
      </c>
      <c r="E47" s="4" t="s">
        <v>5</v>
      </c>
      <c r="F47" s="232" t="s">
        <v>229</v>
      </c>
      <c r="H47" s="211">
        <v>7667</v>
      </c>
      <c r="I47" s="213">
        <v>0</v>
      </c>
      <c r="J47" s="213">
        <v>15305</v>
      </c>
      <c r="K47" s="211">
        <v>2362.5</v>
      </c>
      <c r="L47" s="211">
        <v>0</v>
      </c>
      <c r="M47" s="244">
        <v>12608</v>
      </c>
      <c r="N47" s="244">
        <v>0</v>
      </c>
      <c r="O47" s="244">
        <v>0</v>
      </c>
      <c r="P47" s="244">
        <v>0</v>
      </c>
      <c r="Q47" s="244">
        <v>24655</v>
      </c>
      <c r="R47" s="244">
        <v>51332</v>
      </c>
      <c r="S47" s="244">
        <v>5002.5</v>
      </c>
      <c r="T47" s="244">
        <v>600</v>
      </c>
      <c r="U47" s="244">
        <v>0</v>
      </c>
      <c r="V47" s="244">
        <v>0</v>
      </c>
      <c r="W47" s="244">
        <v>0</v>
      </c>
      <c r="X47" s="213">
        <v>51596</v>
      </c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29">
        <f t="shared" si="6"/>
        <v>171128</v>
      </c>
      <c r="AP47" s="37">
        <f t="shared" ref="AP47:AX56" si="7">SUMIF($H$3:$AM$3,AP$6,$H47:$AM47)</f>
        <v>27913</v>
      </c>
      <c r="AQ47" s="37">
        <f t="shared" si="7"/>
        <v>0</v>
      </c>
      <c r="AR47" s="37">
        <f t="shared" si="7"/>
        <v>51332</v>
      </c>
      <c r="AS47" s="37">
        <f t="shared" si="7"/>
        <v>600</v>
      </c>
      <c r="AT47" s="37">
        <f t="shared" si="7"/>
        <v>0</v>
      </c>
      <c r="AU47" s="37">
        <f t="shared" si="7"/>
        <v>0</v>
      </c>
      <c r="AV47" s="37">
        <f t="shared" si="7"/>
        <v>7365</v>
      </c>
      <c r="AW47" s="37">
        <f t="shared" si="7"/>
        <v>83918</v>
      </c>
      <c r="AX47" s="37">
        <f t="shared" si="7"/>
        <v>0</v>
      </c>
      <c r="AY47" s="64">
        <f t="shared" si="2"/>
        <v>0</v>
      </c>
    </row>
    <row r="48" spans="1:51">
      <c r="A48" s="231">
        <v>3363</v>
      </c>
      <c r="B48" s="4">
        <v>103455</v>
      </c>
      <c r="C48" s="4" t="s">
        <v>356</v>
      </c>
      <c r="D48" s="4" t="s">
        <v>357</v>
      </c>
      <c r="E48" s="4" t="s">
        <v>5</v>
      </c>
      <c r="F48" s="232" t="s">
        <v>229</v>
      </c>
      <c r="H48" s="211">
        <v>7962</v>
      </c>
      <c r="I48" s="213">
        <v>0</v>
      </c>
      <c r="J48" s="213">
        <v>14258</v>
      </c>
      <c r="K48" s="211">
        <v>3178.13</v>
      </c>
      <c r="L48" s="211">
        <v>0</v>
      </c>
      <c r="M48" s="244">
        <v>11750</v>
      </c>
      <c r="N48" s="244">
        <v>0</v>
      </c>
      <c r="O48" s="244">
        <v>0</v>
      </c>
      <c r="P48" s="244">
        <v>0</v>
      </c>
      <c r="Q48" s="244">
        <v>19388</v>
      </c>
      <c r="R48" s="244">
        <v>41512</v>
      </c>
      <c r="S48" s="244">
        <v>4023.75</v>
      </c>
      <c r="T48" s="244">
        <v>200</v>
      </c>
      <c r="U48" s="244">
        <v>0</v>
      </c>
      <c r="V48" s="244">
        <v>0</v>
      </c>
      <c r="W48" s="244">
        <v>1799</v>
      </c>
      <c r="X48" s="213">
        <v>24396</v>
      </c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29">
        <f t="shared" si="6"/>
        <v>128466.88</v>
      </c>
      <c r="AP48" s="37">
        <f t="shared" si="7"/>
        <v>27807</v>
      </c>
      <c r="AQ48" s="37">
        <f t="shared" si="7"/>
        <v>0</v>
      </c>
      <c r="AR48" s="37">
        <f t="shared" si="7"/>
        <v>41512</v>
      </c>
      <c r="AS48" s="37">
        <f t="shared" si="7"/>
        <v>200</v>
      </c>
      <c r="AT48" s="37">
        <f t="shared" si="7"/>
        <v>0</v>
      </c>
      <c r="AU48" s="37">
        <f t="shared" si="7"/>
        <v>0</v>
      </c>
      <c r="AV48" s="37">
        <f t="shared" si="7"/>
        <v>7201.88</v>
      </c>
      <c r="AW48" s="37">
        <f t="shared" si="7"/>
        <v>51746</v>
      </c>
      <c r="AX48" s="37">
        <f t="shared" si="7"/>
        <v>0</v>
      </c>
      <c r="AY48" s="64">
        <f t="shared" si="2"/>
        <v>0</v>
      </c>
    </row>
    <row r="49" spans="1:51">
      <c r="A49" s="231">
        <v>3377</v>
      </c>
      <c r="B49" s="4">
        <v>103463</v>
      </c>
      <c r="C49" s="4" t="s">
        <v>359</v>
      </c>
      <c r="D49" s="4" t="s">
        <v>360</v>
      </c>
      <c r="E49" s="4" t="s">
        <v>5</v>
      </c>
      <c r="F49" s="232" t="s">
        <v>229</v>
      </c>
      <c r="H49" s="211">
        <v>7354</v>
      </c>
      <c r="I49" s="213">
        <v>0</v>
      </c>
      <c r="J49" s="213">
        <v>10604</v>
      </c>
      <c r="K49" s="211">
        <v>3431.25</v>
      </c>
      <c r="L49" s="211">
        <v>0</v>
      </c>
      <c r="M49" s="244">
        <v>8723</v>
      </c>
      <c r="N49" s="244">
        <v>0</v>
      </c>
      <c r="O49" s="244">
        <v>0</v>
      </c>
      <c r="P49" s="244">
        <v>0</v>
      </c>
      <c r="Q49" s="244">
        <v>4046</v>
      </c>
      <c r="R49" s="244">
        <v>48372</v>
      </c>
      <c r="S49" s="244">
        <v>4712.5</v>
      </c>
      <c r="T49" s="244">
        <v>0</v>
      </c>
      <c r="U49" s="244">
        <v>0</v>
      </c>
      <c r="V49" s="244">
        <v>0</v>
      </c>
      <c r="W49" s="244">
        <v>0</v>
      </c>
      <c r="X49" s="213">
        <v>6450</v>
      </c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29">
        <f t="shared" si="6"/>
        <v>93692.75</v>
      </c>
      <c r="AP49" s="37">
        <f t="shared" si="7"/>
        <v>19327</v>
      </c>
      <c r="AQ49" s="37">
        <f t="shared" si="7"/>
        <v>0</v>
      </c>
      <c r="AR49" s="37">
        <f t="shared" si="7"/>
        <v>48372</v>
      </c>
      <c r="AS49" s="37">
        <f t="shared" si="7"/>
        <v>0</v>
      </c>
      <c r="AT49" s="37">
        <f t="shared" si="7"/>
        <v>0</v>
      </c>
      <c r="AU49" s="37">
        <f t="shared" si="7"/>
        <v>0</v>
      </c>
      <c r="AV49" s="37">
        <f t="shared" si="7"/>
        <v>8143.75</v>
      </c>
      <c r="AW49" s="37">
        <f t="shared" si="7"/>
        <v>17850</v>
      </c>
      <c r="AX49" s="37">
        <f t="shared" si="7"/>
        <v>0</v>
      </c>
      <c r="AY49" s="64">
        <f t="shared" si="2"/>
        <v>0</v>
      </c>
    </row>
    <row r="50" spans="1:51">
      <c r="A50" s="231">
        <v>3371</v>
      </c>
      <c r="B50" s="4">
        <v>103459</v>
      </c>
      <c r="C50" s="4" t="s">
        <v>362</v>
      </c>
      <c r="D50" s="4" t="s">
        <v>363</v>
      </c>
      <c r="E50" s="4" t="s">
        <v>5</v>
      </c>
      <c r="F50" s="232" t="s">
        <v>229</v>
      </c>
      <c r="H50" s="211">
        <v>7417</v>
      </c>
      <c r="I50" s="213">
        <v>0</v>
      </c>
      <c r="J50" s="213">
        <v>10975</v>
      </c>
      <c r="K50" s="211">
        <v>1012.5</v>
      </c>
      <c r="L50" s="211">
        <v>0</v>
      </c>
      <c r="M50" s="244">
        <v>9053</v>
      </c>
      <c r="N50" s="244">
        <v>0</v>
      </c>
      <c r="O50" s="244">
        <v>0</v>
      </c>
      <c r="P50" s="244">
        <v>0</v>
      </c>
      <c r="Q50" s="244">
        <v>40458</v>
      </c>
      <c r="R50" s="244">
        <v>20605</v>
      </c>
      <c r="S50" s="244">
        <v>1993.75</v>
      </c>
      <c r="T50" s="244">
        <v>200</v>
      </c>
      <c r="U50" s="244">
        <v>0</v>
      </c>
      <c r="V50" s="244">
        <v>0</v>
      </c>
      <c r="W50" s="244">
        <v>0</v>
      </c>
      <c r="X50" s="213">
        <v>52717</v>
      </c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29">
        <f t="shared" si="6"/>
        <v>144431.25</v>
      </c>
      <c r="AP50" s="37">
        <f t="shared" si="7"/>
        <v>20028</v>
      </c>
      <c r="AQ50" s="37">
        <f t="shared" si="7"/>
        <v>0</v>
      </c>
      <c r="AR50" s="37">
        <f t="shared" si="7"/>
        <v>20605</v>
      </c>
      <c r="AS50" s="37">
        <f t="shared" si="7"/>
        <v>200</v>
      </c>
      <c r="AT50" s="37">
        <f t="shared" si="7"/>
        <v>0</v>
      </c>
      <c r="AU50" s="37">
        <f t="shared" si="7"/>
        <v>0</v>
      </c>
      <c r="AV50" s="37">
        <f t="shared" si="7"/>
        <v>3006.25</v>
      </c>
      <c r="AW50" s="37">
        <f t="shared" si="7"/>
        <v>100592</v>
      </c>
      <c r="AX50" s="37">
        <f t="shared" si="7"/>
        <v>0</v>
      </c>
      <c r="AY50" s="64">
        <f t="shared" si="2"/>
        <v>0</v>
      </c>
    </row>
    <row r="51" spans="1:51">
      <c r="A51" s="231">
        <v>3016</v>
      </c>
      <c r="B51" s="4">
        <v>103404</v>
      </c>
      <c r="C51" s="4" t="s">
        <v>365</v>
      </c>
      <c r="D51" s="4" t="s">
        <v>366</v>
      </c>
      <c r="E51" s="4" t="s">
        <v>5</v>
      </c>
      <c r="F51" s="232" t="s">
        <v>229</v>
      </c>
      <c r="H51" s="211">
        <v>7400</v>
      </c>
      <c r="I51" s="213">
        <v>0</v>
      </c>
      <c r="J51" s="213">
        <v>10963</v>
      </c>
      <c r="K51" s="211">
        <v>3121.88</v>
      </c>
      <c r="L51" s="211">
        <v>0</v>
      </c>
      <c r="M51" s="244">
        <v>9024</v>
      </c>
      <c r="N51" s="244">
        <v>0</v>
      </c>
      <c r="O51" s="244">
        <v>0</v>
      </c>
      <c r="P51" s="244">
        <v>0</v>
      </c>
      <c r="Q51" s="244">
        <v>12738</v>
      </c>
      <c r="R51" s="244">
        <v>43660</v>
      </c>
      <c r="S51" s="244">
        <v>4277.5</v>
      </c>
      <c r="T51" s="244">
        <v>200</v>
      </c>
      <c r="U51" s="244">
        <v>0</v>
      </c>
      <c r="V51" s="244">
        <v>0</v>
      </c>
      <c r="W51" s="244">
        <v>0</v>
      </c>
      <c r="X51" s="213">
        <v>14301</v>
      </c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29">
        <f t="shared" si="6"/>
        <v>105685.38</v>
      </c>
      <c r="AP51" s="37">
        <f t="shared" si="7"/>
        <v>19987</v>
      </c>
      <c r="AQ51" s="37">
        <f t="shared" si="7"/>
        <v>0</v>
      </c>
      <c r="AR51" s="37">
        <f t="shared" si="7"/>
        <v>43660</v>
      </c>
      <c r="AS51" s="37">
        <f t="shared" si="7"/>
        <v>200</v>
      </c>
      <c r="AT51" s="37">
        <f t="shared" si="7"/>
        <v>0</v>
      </c>
      <c r="AU51" s="37">
        <f t="shared" si="7"/>
        <v>0</v>
      </c>
      <c r="AV51" s="37">
        <f t="shared" si="7"/>
        <v>7399.38</v>
      </c>
      <c r="AW51" s="37">
        <f t="shared" si="7"/>
        <v>34439</v>
      </c>
      <c r="AX51" s="37">
        <f t="shared" si="7"/>
        <v>0</v>
      </c>
      <c r="AY51" s="64">
        <f t="shared" si="2"/>
        <v>0</v>
      </c>
    </row>
    <row r="52" spans="1:51">
      <c r="A52" s="231">
        <v>4606</v>
      </c>
      <c r="B52" s="4">
        <v>103531</v>
      </c>
      <c r="C52" s="4" t="s">
        <v>368</v>
      </c>
      <c r="D52" s="4" t="s">
        <v>369</v>
      </c>
      <c r="E52" s="4" t="s">
        <v>6</v>
      </c>
      <c r="F52" s="232" t="s">
        <v>229</v>
      </c>
      <c r="H52" s="211">
        <v>0</v>
      </c>
      <c r="I52" s="213">
        <v>0</v>
      </c>
      <c r="J52" s="213">
        <v>49076</v>
      </c>
      <c r="K52" s="211">
        <v>7143.75</v>
      </c>
      <c r="L52" s="211">
        <v>0</v>
      </c>
      <c r="M52" s="244">
        <v>39642</v>
      </c>
      <c r="N52" s="244">
        <v>0</v>
      </c>
      <c r="O52" s="244">
        <v>0</v>
      </c>
      <c r="P52" s="244">
        <v>0</v>
      </c>
      <c r="Q52" s="244">
        <v>0</v>
      </c>
      <c r="R52" s="244">
        <v>63257</v>
      </c>
      <c r="S52" s="244">
        <v>15939</v>
      </c>
      <c r="T52" s="244">
        <v>0</v>
      </c>
      <c r="U52" s="244">
        <v>27276</v>
      </c>
      <c r="V52" s="244">
        <v>0</v>
      </c>
      <c r="W52" s="244">
        <v>0</v>
      </c>
      <c r="X52" s="213">
        <v>0</v>
      </c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29">
        <f t="shared" si="6"/>
        <v>202333.75</v>
      </c>
      <c r="AP52" s="37">
        <f t="shared" si="7"/>
        <v>115994</v>
      </c>
      <c r="AQ52" s="37">
        <f t="shared" si="7"/>
        <v>0</v>
      </c>
      <c r="AR52" s="37">
        <f t="shared" si="7"/>
        <v>63257</v>
      </c>
      <c r="AS52" s="37">
        <f t="shared" si="7"/>
        <v>0</v>
      </c>
      <c r="AT52" s="37">
        <f t="shared" si="7"/>
        <v>0</v>
      </c>
      <c r="AU52" s="37">
        <f t="shared" si="7"/>
        <v>0</v>
      </c>
      <c r="AV52" s="37">
        <f t="shared" si="7"/>
        <v>23082.75</v>
      </c>
      <c r="AW52" s="37">
        <f t="shared" si="7"/>
        <v>0</v>
      </c>
      <c r="AX52" s="37">
        <f t="shared" si="7"/>
        <v>0</v>
      </c>
      <c r="AY52" s="64">
        <f t="shared" si="2"/>
        <v>0</v>
      </c>
    </row>
    <row r="53" spans="1:51">
      <c r="A53" s="231">
        <v>3428</v>
      </c>
      <c r="B53" s="4">
        <v>134476</v>
      </c>
      <c r="C53" s="4" t="s">
        <v>371</v>
      </c>
      <c r="D53" s="4" t="s">
        <v>372</v>
      </c>
      <c r="E53" s="4" t="s">
        <v>5</v>
      </c>
      <c r="F53" s="232" t="s">
        <v>229</v>
      </c>
      <c r="H53" s="211">
        <v>8154</v>
      </c>
      <c r="I53" s="213">
        <v>0</v>
      </c>
      <c r="J53" s="213">
        <v>16513</v>
      </c>
      <c r="K53" s="211">
        <v>2025</v>
      </c>
      <c r="L53" s="211">
        <v>0</v>
      </c>
      <c r="M53" s="244">
        <v>13622</v>
      </c>
      <c r="N53" s="244">
        <v>0</v>
      </c>
      <c r="O53" s="244">
        <v>0</v>
      </c>
      <c r="P53" s="244">
        <v>0</v>
      </c>
      <c r="Q53" s="244">
        <v>22513</v>
      </c>
      <c r="R53" s="244">
        <v>35300</v>
      </c>
      <c r="S53" s="244">
        <v>3335</v>
      </c>
      <c r="T53" s="244">
        <v>0</v>
      </c>
      <c r="U53" s="244">
        <v>0</v>
      </c>
      <c r="V53" s="244">
        <v>0</v>
      </c>
      <c r="W53" s="244">
        <v>0</v>
      </c>
      <c r="X53" s="213">
        <v>35052</v>
      </c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29">
        <f t="shared" si="6"/>
        <v>136514</v>
      </c>
      <c r="AP53" s="37">
        <f t="shared" si="7"/>
        <v>30135</v>
      </c>
      <c r="AQ53" s="37">
        <f t="shared" si="7"/>
        <v>0</v>
      </c>
      <c r="AR53" s="37">
        <f t="shared" si="7"/>
        <v>35300</v>
      </c>
      <c r="AS53" s="37">
        <f t="shared" si="7"/>
        <v>0</v>
      </c>
      <c r="AT53" s="37">
        <f t="shared" si="7"/>
        <v>0</v>
      </c>
      <c r="AU53" s="37">
        <f t="shared" si="7"/>
        <v>0</v>
      </c>
      <c r="AV53" s="37">
        <f t="shared" si="7"/>
        <v>5360</v>
      </c>
      <c r="AW53" s="37">
        <f t="shared" si="7"/>
        <v>65719</v>
      </c>
      <c r="AX53" s="37">
        <f t="shared" si="7"/>
        <v>0</v>
      </c>
      <c r="AY53" s="64">
        <f t="shared" si="2"/>
        <v>0</v>
      </c>
    </row>
    <row r="54" spans="1:51">
      <c r="A54" s="231">
        <v>4237</v>
      </c>
      <c r="B54" s="4">
        <v>103514</v>
      </c>
      <c r="C54" s="4" t="s">
        <v>374</v>
      </c>
      <c r="D54" s="4" t="s">
        <v>375</v>
      </c>
      <c r="E54" s="4" t="s">
        <v>6</v>
      </c>
      <c r="F54" s="232" t="s">
        <v>229</v>
      </c>
      <c r="H54" s="211">
        <v>0</v>
      </c>
      <c r="I54" s="213">
        <v>0</v>
      </c>
      <c r="J54" s="213">
        <v>103533</v>
      </c>
      <c r="K54" s="211">
        <v>17775</v>
      </c>
      <c r="L54" s="211">
        <v>0</v>
      </c>
      <c r="M54" s="244">
        <v>83320</v>
      </c>
      <c r="N54" s="244">
        <v>0</v>
      </c>
      <c r="O54" s="244">
        <v>0</v>
      </c>
      <c r="P54" s="244">
        <v>0</v>
      </c>
      <c r="Q54" s="244">
        <v>0</v>
      </c>
      <c r="R54" s="244">
        <v>167955</v>
      </c>
      <c r="S54" s="244">
        <v>43815</v>
      </c>
      <c r="T54" s="244">
        <v>0</v>
      </c>
      <c r="U54" s="244">
        <v>38241</v>
      </c>
      <c r="V54" s="244">
        <v>0</v>
      </c>
      <c r="W54" s="244">
        <v>0</v>
      </c>
      <c r="X54" s="213">
        <v>0</v>
      </c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29">
        <f t="shared" si="6"/>
        <v>454639</v>
      </c>
      <c r="AP54" s="37">
        <f t="shared" si="7"/>
        <v>225094</v>
      </c>
      <c r="AQ54" s="37">
        <f t="shared" si="7"/>
        <v>0</v>
      </c>
      <c r="AR54" s="37">
        <f t="shared" si="7"/>
        <v>167955</v>
      </c>
      <c r="AS54" s="37">
        <f t="shared" si="7"/>
        <v>0</v>
      </c>
      <c r="AT54" s="37">
        <f t="shared" si="7"/>
        <v>0</v>
      </c>
      <c r="AU54" s="37">
        <f t="shared" si="7"/>
        <v>0</v>
      </c>
      <c r="AV54" s="37">
        <f t="shared" si="7"/>
        <v>61590</v>
      </c>
      <c r="AW54" s="37">
        <f t="shared" si="7"/>
        <v>0</v>
      </c>
      <c r="AX54" s="37">
        <f t="shared" si="7"/>
        <v>0</v>
      </c>
      <c r="AY54" s="64">
        <f t="shared" si="2"/>
        <v>0</v>
      </c>
    </row>
    <row r="55" spans="1:51">
      <c r="A55" s="231">
        <v>3323</v>
      </c>
      <c r="B55" s="4">
        <v>103427</v>
      </c>
      <c r="C55" s="4" t="s">
        <v>377</v>
      </c>
      <c r="D55" s="4" t="s">
        <v>378</v>
      </c>
      <c r="E55" s="4" t="s">
        <v>5</v>
      </c>
      <c r="F55" s="232" t="s">
        <v>229</v>
      </c>
      <c r="H55" s="211">
        <v>7346</v>
      </c>
      <c r="I55" s="213">
        <v>0</v>
      </c>
      <c r="J55" s="213">
        <v>9813</v>
      </c>
      <c r="K55" s="211">
        <v>2306.25</v>
      </c>
      <c r="L55" s="211">
        <v>0</v>
      </c>
      <c r="M55" s="244">
        <v>8081</v>
      </c>
      <c r="N55" s="244">
        <v>0</v>
      </c>
      <c r="O55" s="244">
        <v>0</v>
      </c>
      <c r="P55" s="244">
        <v>0</v>
      </c>
      <c r="Q55" s="244">
        <v>11376</v>
      </c>
      <c r="R55" s="244">
        <v>34495</v>
      </c>
      <c r="S55" s="244">
        <v>3371.25</v>
      </c>
      <c r="T55" s="244">
        <v>600</v>
      </c>
      <c r="U55" s="244">
        <v>0</v>
      </c>
      <c r="V55" s="244">
        <v>0</v>
      </c>
      <c r="W55" s="244">
        <v>1799</v>
      </c>
      <c r="X55" s="213">
        <v>13180</v>
      </c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29">
        <f t="shared" si="6"/>
        <v>92367.5</v>
      </c>
      <c r="AP55" s="37">
        <f t="shared" si="7"/>
        <v>19693</v>
      </c>
      <c r="AQ55" s="37">
        <f t="shared" si="7"/>
        <v>0</v>
      </c>
      <c r="AR55" s="37">
        <f t="shared" si="7"/>
        <v>34495</v>
      </c>
      <c r="AS55" s="37">
        <f t="shared" si="7"/>
        <v>600</v>
      </c>
      <c r="AT55" s="37">
        <f t="shared" si="7"/>
        <v>0</v>
      </c>
      <c r="AU55" s="37">
        <f t="shared" si="7"/>
        <v>0</v>
      </c>
      <c r="AV55" s="37">
        <f t="shared" si="7"/>
        <v>5677.5</v>
      </c>
      <c r="AW55" s="37">
        <f t="shared" si="7"/>
        <v>31902</v>
      </c>
      <c r="AX55" s="37">
        <f t="shared" si="7"/>
        <v>0</v>
      </c>
      <c r="AY55" s="64">
        <f t="shared" si="2"/>
        <v>0</v>
      </c>
    </row>
    <row r="56" spans="1:51">
      <c r="A56" s="231">
        <v>7014</v>
      </c>
      <c r="B56" s="4">
        <v>103605</v>
      </c>
      <c r="C56" s="4" t="s">
        <v>380</v>
      </c>
      <c r="D56" s="4" t="s">
        <v>381</v>
      </c>
      <c r="E56" s="4" t="s">
        <v>1093</v>
      </c>
      <c r="F56" s="232" t="s">
        <v>229</v>
      </c>
      <c r="H56" s="211">
        <v>7017</v>
      </c>
      <c r="I56" s="213">
        <v>159106.14000000001</v>
      </c>
      <c r="J56" s="213">
        <v>0</v>
      </c>
      <c r="K56" s="211">
        <v>8004.69</v>
      </c>
      <c r="L56" s="211">
        <v>0</v>
      </c>
      <c r="M56" s="244">
        <v>0</v>
      </c>
      <c r="N56" s="244">
        <v>0</v>
      </c>
      <c r="O56" s="244">
        <v>0</v>
      </c>
      <c r="P56" s="244">
        <v>0</v>
      </c>
      <c r="Q56" s="244">
        <v>4105</v>
      </c>
      <c r="R56" s="244">
        <v>39707</v>
      </c>
      <c r="S56" s="244">
        <v>27201.5</v>
      </c>
      <c r="T56" s="244">
        <v>200</v>
      </c>
      <c r="U56" s="244">
        <v>0</v>
      </c>
      <c r="V56" s="244">
        <v>119262.75</v>
      </c>
      <c r="W56" s="244">
        <v>0</v>
      </c>
      <c r="X56" s="213">
        <v>6730</v>
      </c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29">
        <f t="shared" si="6"/>
        <v>371334.08</v>
      </c>
      <c r="AP56" s="37">
        <f t="shared" si="7"/>
        <v>278368.89</v>
      </c>
      <c r="AQ56" s="37">
        <f t="shared" si="7"/>
        <v>0</v>
      </c>
      <c r="AR56" s="37">
        <f t="shared" si="7"/>
        <v>39707</v>
      </c>
      <c r="AS56" s="37">
        <f t="shared" si="7"/>
        <v>200</v>
      </c>
      <c r="AT56" s="37">
        <f t="shared" si="7"/>
        <v>0</v>
      </c>
      <c r="AU56" s="37">
        <f t="shared" si="7"/>
        <v>0</v>
      </c>
      <c r="AV56" s="37">
        <f t="shared" si="7"/>
        <v>35206.19</v>
      </c>
      <c r="AW56" s="37">
        <f t="shared" si="7"/>
        <v>17852</v>
      </c>
      <c r="AX56" s="37">
        <f t="shared" si="7"/>
        <v>0</v>
      </c>
      <c r="AY56" s="64">
        <f t="shared" si="2"/>
        <v>0</v>
      </c>
    </row>
    <row r="57" spans="1:51">
      <c r="A57" s="231">
        <v>7009</v>
      </c>
      <c r="B57" s="4">
        <v>103601</v>
      </c>
      <c r="C57" s="4" t="s">
        <v>383</v>
      </c>
      <c r="D57" s="4" t="s">
        <v>384</v>
      </c>
      <c r="E57" s="4" t="s">
        <v>1093</v>
      </c>
      <c r="F57" s="232" t="s">
        <v>229</v>
      </c>
      <c r="H57" s="211">
        <v>6979</v>
      </c>
      <c r="I57" s="213">
        <v>136376.69</v>
      </c>
      <c r="J57" s="213">
        <v>0</v>
      </c>
      <c r="K57" s="211">
        <v>9400</v>
      </c>
      <c r="L57" s="211">
        <v>0</v>
      </c>
      <c r="M57" s="244">
        <v>0</v>
      </c>
      <c r="N57" s="244">
        <v>0</v>
      </c>
      <c r="O57" s="244">
        <v>0</v>
      </c>
      <c r="P57" s="244">
        <v>0</v>
      </c>
      <c r="Q57" s="244">
        <v>1101</v>
      </c>
      <c r="R57" s="244">
        <v>37242</v>
      </c>
      <c r="S57" s="244">
        <v>19048</v>
      </c>
      <c r="T57" s="244">
        <v>400</v>
      </c>
      <c r="U57" s="244">
        <v>0</v>
      </c>
      <c r="V57" s="244">
        <v>102225.22</v>
      </c>
      <c r="W57" s="244">
        <v>0</v>
      </c>
      <c r="X57" s="213">
        <v>3506</v>
      </c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29">
        <f t="shared" si="6"/>
        <v>316277.91000000003</v>
      </c>
      <c r="AP57" s="37">
        <f t="shared" ref="AP57:AX69" si="8">SUMIF($H$3:$AM$3,AP$6,$H57:$AM57)</f>
        <v>238601.91</v>
      </c>
      <c r="AQ57" s="37">
        <f t="shared" si="8"/>
        <v>0</v>
      </c>
      <c r="AR57" s="37">
        <f t="shared" si="8"/>
        <v>37242</v>
      </c>
      <c r="AS57" s="37">
        <f t="shared" si="8"/>
        <v>400</v>
      </c>
      <c r="AT57" s="37">
        <f t="shared" si="8"/>
        <v>0</v>
      </c>
      <c r="AU57" s="37">
        <f t="shared" si="8"/>
        <v>0</v>
      </c>
      <c r="AV57" s="37">
        <f t="shared" si="8"/>
        <v>28448</v>
      </c>
      <c r="AW57" s="37">
        <f t="shared" si="8"/>
        <v>11586</v>
      </c>
      <c r="AX57" s="37">
        <f t="shared" si="8"/>
        <v>0</v>
      </c>
      <c r="AY57" s="64">
        <f t="shared" si="2"/>
        <v>0</v>
      </c>
    </row>
    <row r="58" spans="1:51">
      <c r="A58" s="231">
        <v>5203</v>
      </c>
      <c r="B58" s="4">
        <v>103544</v>
      </c>
      <c r="C58" s="4" t="s">
        <v>386</v>
      </c>
      <c r="D58" s="4" t="s">
        <v>387</v>
      </c>
      <c r="E58" s="4" t="s">
        <v>5</v>
      </c>
      <c r="F58" s="232" t="s">
        <v>229</v>
      </c>
      <c r="H58" s="211">
        <v>7417</v>
      </c>
      <c r="I58" s="213">
        <v>0</v>
      </c>
      <c r="J58" s="213">
        <v>10208</v>
      </c>
      <c r="K58" s="211">
        <v>534.38</v>
      </c>
      <c r="L58" s="211">
        <v>0</v>
      </c>
      <c r="M58" s="244">
        <v>8429</v>
      </c>
      <c r="N58" s="244">
        <v>0</v>
      </c>
      <c r="O58" s="244">
        <v>0</v>
      </c>
      <c r="P58" s="244">
        <v>0</v>
      </c>
      <c r="Q58" s="244">
        <v>45305</v>
      </c>
      <c r="R58" s="244">
        <v>9055</v>
      </c>
      <c r="S58" s="244">
        <v>833.75</v>
      </c>
      <c r="T58" s="244">
        <v>200</v>
      </c>
      <c r="U58" s="244">
        <v>0</v>
      </c>
      <c r="V58" s="244">
        <v>0</v>
      </c>
      <c r="W58" s="244">
        <v>0</v>
      </c>
      <c r="X58" s="213">
        <v>63233</v>
      </c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  <c r="AK58" s="212"/>
      <c r="AL58" s="212"/>
      <c r="AM58" s="212"/>
      <c r="AN58" s="229">
        <f t="shared" si="6"/>
        <v>145215.13</v>
      </c>
      <c r="AP58" s="37">
        <f t="shared" si="8"/>
        <v>18637</v>
      </c>
      <c r="AQ58" s="37">
        <f t="shared" si="8"/>
        <v>0</v>
      </c>
      <c r="AR58" s="37">
        <f t="shared" si="8"/>
        <v>9055</v>
      </c>
      <c r="AS58" s="37">
        <f t="shared" si="8"/>
        <v>200</v>
      </c>
      <c r="AT58" s="37">
        <f t="shared" si="8"/>
        <v>0</v>
      </c>
      <c r="AU58" s="37">
        <f t="shared" si="8"/>
        <v>0</v>
      </c>
      <c r="AV58" s="37">
        <f t="shared" si="8"/>
        <v>1368.13</v>
      </c>
      <c r="AW58" s="37">
        <f t="shared" si="8"/>
        <v>115955</v>
      </c>
      <c r="AX58" s="37">
        <f t="shared" si="8"/>
        <v>0</v>
      </c>
      <c r="AY58" s="64">
        <f t="shared" si="2"/>
        <v>0</v>
      </c>
    </row>
    <row r="59" spans="1:51">
      <c r="A59" s="231">
        <v>5202</v>
      </c>
      <c r="B59" s="4">
        <v>103543</v>
      </c>
      <c r="C59" s="4" t="s">
        <v>389</v>
      </c>
      <c r="D59" s="4" t="s">
        <v>390</v>
      </c>
      <c r="E59" s="4" t="s">
        <v>5</v>
      </c>
      <c r="F59" s="232" t="s">
        <v>229</v>
      </c>
      <c r="H59" s="211">
        <v>8167</v>
      </c>
      <c r="I59" s="213">
        <v>0</v>
      </c>
      <c r="J59" s="213">
        <v>13737</v>
      </c>
      <c r="K59" s="211">
        <v>1265.6300000000001</v>
      </c>
      <c r="L59" s="211">
        <v>0</v>
      </c>
      <c r="M59" s="244">
        <v>11339</v>
      </c>
      <c r="N59" s="244">
        <v>0</v>
      </c>
      <c r="O59" s="244">
        <v>0</v>
      </c>
      <c r="P59" s="244">
        <v>0</v>
      </c>
      <c r="Q59" s="244">
        <v>0</v>
      </c>
      <c r="R59" s="244">
        <v>18675</v>
      </c>
      <c r="S59" s="244">
        <v>1776.25</v>
      </c>
      <c r="T59" s="244">
        <v>800</v>
      </c>
      <c r="U59" s="244">
        <v>0</v>
      </c>
      <c r="V59" s="244">
        <v>0</v>
      </c>
      <c r="W59" s="244">
        <v>0</v>
      </c>
      <c r="X59" s="213">
        <v>0</v>
      </c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29">
        <f t="shared" si="6"/>
        <v>55759.880000000005</v>
      </c>
      <c r="AP59" s="37">
        <f t="shared" si="8"/>
        <v>25076</v>
      </c>
      <c r="AQ59" s="37">
        <f t="shared" si="8"/>
        <v>0</v>
      </c>
      <c r="AR59" s="37">
        <f t="shared" si="8"/>
        <v>18675</v>
      </c>
      <c r="AS59" s="37">
        <f t="shared" si="8"/>
        <v>800</v>
      </c>
      <c r="AT59" s="37">
        <f t="shared" si="8"/>
        <v>0</v>
      </c>
      <c r="AU59" s="37">
        <f t="shared" si="8"/>
        <v>0</v>
      </c>
      <c r="AV59" s="37">
        <f t="shared" si="8"/>
        <v>3041.88</v>
      </c>
      <c r="AW59" s="37">
        <f t="shared" si="8"/>
        <v>8167</v>
      </c>
      <c r="AX59" s="37">
        <f t="shared" si="8"/>
        <v>0</v>
      </c>
      <c r="AY59" s="64">
        <f t="shared" si="2"/>
        <v>0</v>
      </c>
    </row>
    <row r="60" spans="1:51">
      <c r="A60" s="231">
        <v>2308</v>
      </c>
      <c r="B60" s="4">
        <v>103328</v>
      </c>
      <c r="C60" s="4" t="s">
        <v>392</v>
      </c>
      <c r="D60" s="4" t="s">
        <v>393</v>
      </c>
      <c r="E60" s="4" t="s">
        <v>5</v>
      </c>
      <c r="F60" s="232" t="s">
        <v>229</v>
      </c>
      <c r="H60" s="211">
        <v>8129</v>
      </c>
      <c r="I60" s="213">
        <v>0</v>
      </c>
      <c r="J60" s="213">
        <v>19911</v>
      </c>
      <c r="K60" s="211">
        <v>5709.38</v>
      </c>
      <c r="L60" s="211">
        <v>1200</v>
      </c>
      <c r="M60" s="244">
        <v>16387</v>
      </c>
      <c r="N60" s="244">
        <v>0</v>
      </c>
      <c r="O60" s="244">
        <v>0</v>
      </c>
      <c r="P60" s="244">
        <v>0</v>
      </c>
      <c r="Q60" s="244">
        <v>11236</v>
      </c>
      <c r="R60" s="244">
        <v>84360</v>
      </c>
      <c r="S60" s="244">
        <v>8265</v>
      </c>
      <c r="T60" s="244">
        <v>0</v>
      </c>
      <c r="U60" s="244">
        <v>0</v>
      </c>
      <c r="V60" s="244">
        <v>0</v>
      </c>
      <c r="W60" s="244">
        <v>5397</v>
      </c>
      <c r="X60" s="213">
        <v>19068</v>
      </c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29">
        <f t="shared" si="6"/>
        <v>179662.38</v>
      </c>
      <c r="AP60" s="37">
        <f t="shared" si="8"/>
        <v>41695</v>
      </c>
      <c r="AQ60" s="37">
        <f t="shared" si="8"/>
        <v>0</v>
      </c>
      <c r="AR60" s="37">
        <f t="shared" si="8"/>
        <v>84360</v>
      </c>
      <c r="AS60" s="37">
        <f t="shared" si="8"/>
        <v>1200</v>
      </c>
      <c r="AT60" s="37">
        <f t="shared" si="8"/>
        <v>0</v>
      </c>
      <c r="AU60" s="37">
        <f t="shared" si="8"/>
        <v>0</v>
      </c>
      <c r="AV60" s="37">
        <f t="shared" si="8"/>
        <v>13974.380000000001</v>
      </c>
      <c r="AW60" s="37">
        <f t="shared" si="8"/>
        <v>38433</v>
      </c>
      <c r="AX60" s="37">
        <f t="shared" si="8"/>
        <v>0</v>
      </c>
      <c r="AY60" s="64">
        <f t="shared" si="2"/>
        <v>0</v>
      </c>
    </row>
    <row r="61" spans="1:51">
      <c r="A61" s="231">
        <v>2011</v>
      </c>
      <c r="B61" s="4">
        <v>134099</v>
      </c>
      <c r="C61" s="4" t="s">
        <v>395</v>
      </c>
      <c r="D61" s="4" t="s">
        <v>396</v>
      </c>
      <c r="E61" s="4" t="s">
        <v>5</v>
      </c>
      <c r="F61" s="232" t="s">
        <v>229</v>
      </c>
      <c r="H61" s="211">
        <v>8908</v>
      </c>
      <c r="I61" s="213">
        <v>0</v>
      </c>
      <c r="J61" s="213">
        <v>25842</v>
      </c>
      <c r="K61" s="211">
        <v>4725</v>
      </c>
      <c r="L61" s="211">
        <v>0</v>
      </c>
      <c r="M61" s="244">
        <v>21300</v>
      </c>
      <c r="N61" s="244">
        <v>0</v>
      </c>
      <c r="O61" s="244">
        <v>0</v>
      </c>
      <c r="P61" s="244">
        <v>0</v>
      </c>
      <c r="Q61" s="244">
        <v>28702</v>
      </c>
      <c r="R61" s="244">
        <v>74902</v>
      </c>
      <c r="S61" s="244">
        <v>7250</v>
      </c>
      <c r="T61" s="244">
        <v>200</v>
      </c>
      <c r="U61" s="244">
        <v>0</v>
      </c>
      <c r="V61" s="244">
        <v>0</v>
      </c>
      <c r="W61" s="244">
        <v>1799</v>
      </c>
      <c r="X61" s="213">
        <v>46268</v>
      </c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29">
        <f t="shared" si="6"/>
        <v>219896</v>
      </c>
      <c r="AP61" s="37">
        <f t="shared" si="8"/>
        <v>48941</v>
      </c>
      <c r="AQ61" s="37">
        <f t="shared" si="8"/>
        <v>0</v>
      </c>
      <c r="AR61" s="37">
        <f t="shared" si="8"/>
        <v>74902</v>
      </c>
      <c r="AS61" s="37">
        <f t="shared" si="8"/>
        <v>200</v>
      </c>
      <c r="AT61" s="37">
        <f t="shared" si="8"/>
        <v>0</v>
      </c>
      <c r="AU61" s="37">
        <f t="shared" si="8"/>
        <v>0</v>
      </c>
      <c r="AV61" s="37">
        <f t="shared" si="8"/>
        <v>11975</v>
      </c>
      <c r="AW61" s="37">
        <f t="shared" si="8"/>
        <v>83878</v>
      </c>
      <c r="AX61" s="37">
        <f t="shared" si="8"/>
        <v>0</v>
      </c>
      <c r="AY61" s="64">
        <f t="shared" si="2"/>
        <v>0</v>
      </c>
    </row>
    <row r="62" spans="1:51">
      <c r="A62" s="231">
        <v>4193</v>
      </c>
      <c r="B62" s="4">
        <v>103501</v>
      </c>
      <c r="C62" s="4" t="s">
        <v>398</v>
      </c>
      <c r="D62" s="4" t="s">
        <v>399</v>
      </c>
      <c r="E62" s="4" t="s">
        <v>6</v>
      </c>
      <c r="F62" s="232" t="s">
        <v>229</v>
      </c>
      <c r="H62" s="211">
        <v>0</v>
      </c>
      <c r="I62" s="213">
        <v>0</v>
      </c>
      <c r="J62" s="213">
        <v>42248</v>
      </c>
      <c r="K62" s="211">
        <v>6862.5</v>
      </c>
      <c r="L62" s="211">
        <v>0</v>
      </c>
      <c r="M62" s="244">
        <v>34054</v>
      </c>
      <c r="N62" s="244">
        <v>0</v>
      </c>
      <c r="O62" s="244">
        <v>0</v>
      </c>
      <c r="P62" s="244">
        <v>0</v>
      </c>
      <c r="Q62" s="244">
        <v>0</v>
      </c>
      <c r="R62" s="244">
        <v>61915</v>
      </c>
      <c r="S62" s="244">
        <v>16008</v>
      </c>
      <c r="T62" s="244">
        <v>0</v>
      </c>
      <c r="U62" s="244">
        <v>0</v>
      </c>
      <c r="V62" s="244">
        <v>0</v>
      </c>
      <c r="W62" s="244">
        <v>0</v>
      </c>
      <c r="X62" s="213">
        <v>0</v>
      </c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29">
        <f t="shared" si="6"/>
        <v>161087.5</v>
      </c>
      <c r="AP62" s="37">
        <f t="shared" si="8"/>
        <v>76302</v>
      </c>
      <c r="AQ62" s="37">
        <f t="shared" si="8"/>
        <v>0</v>
      </c>
      <c r="AR62" s="37">
        <f t="shared" si="8"/>
        <v>61915</v>
      </c>
      <c r="AS62" s="37">
        <f t="shared" si="8"/>
        <v>0</v>
      </c>
      <c r="AT62" s="37">
        <f t="shared" si="8"/>
        <v>0</v>
      </c>
      <c r="AU62" s="37">
        <f t="shared" si="8"/>
        <v>0</v>
      </c>
      <c r="AV62" s="37">
        <f t="shared" si="8"/>
        <v>22870.5</v>
      </c>
      <c r="AW62" s="37">
        <f t="shared" si="8"/>
        <v>0</v>
      </c>
      <c r="AX62" s="37">
        <f t="shared" si="8"/>
        <v>0</v>
      </c>
      <c r="AY62" s="64">
        <f t="shared" si="2"/>
        <v>0</v>
      </c>
    </row>
    <row r="63" spans="1:51">
      <c r="A63" s="231">
        <v>2293</v>
      </c>
      <c r="B63" s="4">
        <v>103317</v>
      </c>
      <c r="C63" s="4" t="s">
        <v>401</v>
      </c>
      <c r="D63" s="4" t="s">
        <v>402</v>
      </c>
      <c r="E63" s="4" t="s">
        <v>5</v>
      </c>
      <c r="F63" s="232" t="s">
        <v>229</v>
      </c>
      <c r="H63" s="211">
        <v>8837</v>
      </c>
      <c r="I63" s="213">
        <v>0</v>
      </c>
      <c r="J63" s="213">
        <v>25589</v>
      </c>
      <c r="K63" s="211">
        <v>6328.13</v>
      </c>
      <c r="L63" s="211">
        <v>0</v>
      </c>
      <c r="M63" s="244">
        <v>21079</v>
      </c>
      <c r="N63" s="244">
        <v>0</v>
      </c>
      <c r="O63" s="244">
        <v>0</v>
      </c>
      <c r="P63" s="244">
        <v>0</v>
      </c>
      <c r="Q63" s="244">
        <v>29563</v>
      </c>
      <c r="R63" s="244">
        <v>87035</v>
      </c>
      <c r="S63" s="244">
        <v>8518.75</v>
      </c>
      <c r="T63" s="244">
        <v>200</v>
      </c>
      <c r="U63" s="244">
        <v>0</v>
      </c>
      <c r="V63" s="244">
        <v>0</v>
      </c>
      <c r="W63" s="244">
        <v>3598</v>
      </c>
      <c r="X63" s="213">
        <v>39819</v>
      </c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29">
        <f t="shared" si="6"/>
        <v>230566.88</v>
      </c>
      <c r="AP63" s="37">
        <f t="shared" si="8"/>
        <v>50266</v>
      </c>
      <c r="AQ63" s="37">
        <f t="shared" si="8"/>
        <v>0</v>
      </c>
      <c r="AR63" s="37">
        <f t="shared" si="8"/>
        <v>87035</v>
      </c>
      <c r="AS63" s="37">
        <f t="shared" si="8"/>
        <v>200</v>
      </c>
      <c r="AT63" s="37">
        <f t="shared" si="8"/>
        <v>0</v>
      </c>
      <c r="AU63" s="37">
        <f t="shared" si="8"/>
        <v>0</v>
      </c>
      <c r="AV63" s="37">
        <f t="shared" si="8"/>
        <v>14846.880000000001</v>
      </c>
      <c r="AW63" s="37">
        <f t="shared" si="8"/>
        <v>78219</v>
      </c>
      <c r="AX63" s="37">
        <f t="shared" si="8"/>
        <v>0</v>
      </c>
      <c r="AY63" s="64">
        <f t="shared" si="2"/>
        <v>0</v>
      </c>
    </row>
    <row r="64" spans="1:51">
      <c r="A64" s="231">
        <v>2225</v>
      </c>
      <c r="B64" s="4">
        <v>103279</v>
      </c>
      <c r="C64" s="4" t="s">
        <v>404</v>
      </c>
      <c r="D64" s="4" t="s">
        <v>405</v>
      </c>
      <c r="E64" s="4" t="s">
        <v>5</v>
      </c>
      <c r="F64" s="232" t="s">
        <v>229</v>
      </c>
      <c r="H64" s="211">
        <v>8154</v>
      </c>
      <c r="I64" s="213">
        <v>0</v>
      </c>
      <c r="J64" s="213">
        <v>17503</v>
      </c>
      <c r="K64" s="211">
        <v>4962.5</v>
      </c>
      <c r="L64" s="211">
        <v>0</v>
      </c>
      <c r="M64" s="244">
        <v>14413</v>
      </c>
      <c r="N64" s="244">
        <v>0</v>
      </c>
      <c r="O64" s="244">
        <v>0</v>
      </c>
      <c r="P64" s="244">
        <v>0</v>
      </c>
      <c r="Q64" s="244">
        <v>0</v>
      </c>
      <c r="R64" s="244">
        <v>64380</v>
      </c>
      <c r="S64" s="244">
        <v>6307.5</v>
      </c>
      <c r="T64" s="244">
        <v>800</v>
      </c>
      <c r="U64" s="244">
        <v>0</v>
      </c>
      <c r="V64" s="244">
        <v>0</v>
      </c>
      <c r="W64" s="244">
        <v>0</v>
      </c>
      <c r="X64" s="213">
        <v>0</v>
      </c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29">
        <f t="shared" si="6"/>
        <v>116520</v>
      </c>
      <c r="AP64" s="37">
        <f t="shared" si="8"/>
        <v>31916</v>
      </c>
      <c r="AQ64" s="37">
        <f t="shared" si="8"/>
        <v>0</v>
      </c>
      <c r="AR64" s="37">
        <f t="shared" si="8"/>
        <v>64380</v>
      </c>
      <c r="AS64" s="37">
        <f t="shared" si="8"/>
        <v>800</v>
      </c>
      <c r="AT64" s="37">
        <f t="shared" si="8"/>
        <v>0</v>
      </c>
      <c r="AU64" s="37">
        <f t="shared" si="8"/>
        <v>0</v>
      </c>
      <c r="AV64" s="37">
        <f t="shared" si="8"/>
        <v>11270</v>
      </c>
      <c r="AW64" s="37">
        <f t="shared" si="8"/>
        <v>8154</v>
      </c>
      <c r="AX64" s="37">
        <f t="shared" si="8"/>
        <v>0</v>
      </c>
      <c r="AY64" s="64">
        <f t="shared" si="2"/>
        <v>0</v>
      </c>
    </row>
    <row r="65" spans="1:51">
      <c r="A65" s="231">
        <v>2412</v>
      </c>
      <c r="B65" s="4">
        <v>103349</v>
      </c>
      <c r="C65" s="4" t="s">
        <v>407</v>
      </c>
      <c r="D65" s="4" t="s">
        <v>408</v>
      </c>
      <c r="E65" s="4" t="s">
        <v>5</v>
      </c>
      <c r="F65" s="232" t="s">
        <v>229</v>
      </c>
      <c r="H65" s="211">
        <v>8167</v>
      </c>
      <c r="I65" s="213">
        <v>0</v>
      </c>
      <c r="J65" s="213">
        <v>17055</v>
      </c>
      <c r="K65" s="211">
        <v>2390.63</v>
      </c>
      <c r="L65" s="211">
        <v>0</v>
      </c>
      <c r="M65" s="244">
        <v>14065</v>
      </c>
      <c r="N65" s="244">
        <v>0</v>
      </c>
      <c r="O65" s="244">
        <v>0</v>
      </c>
      <c r="P65" s="244">
        <v>1200</v>
      </c>
      <c r="Q65" s="244">
        <v>26558</v>
      </c>
      <c r="R65" s="244">
        <v>39940</v>
      </c>
      <c r="S65" s="244">
        <v>3806.25</v>
      </c>
      <c r="T65" s="244">
        <v>400</v>
      </c>
      <c r="U65" s="244">
        <v>0</v>
      </c>
      <c r="V65" s="244">
        <v>0</v>
      </c>
      <c r="W65" s="244">
        <v>0</v>
      </c>
      <c r="X65" s="213">
        <v>37575</v>
      </c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/>
      <c r="AM65" s="212"/>
      <c r="AN65" s="229">
        <f t="shared" si="6"/>
        <v>151156.88</v>
      </c>
      <c r="AP65" s="37">
        <f t="shared" si="8"/>
        <v>31120</v>
      </c>
      <c r="AQ65" s="37">
        <f t="shared" si="8"/>
        <v>0</v>
      </c>
      <c r="AR65" s="37">
        <f t="shared" si="8"/>
        <v>39940</v>
      </c>
      <c r="AS65" s="37">
        <f t="shared" si="8"/>
        <v>1600</v>
      </c>
      <c r="AT65" s="37">
        <f t="shared" si="8"/>
        <v>0</v>
      </c>
      <c r="AU65" s="37">
        <f t="shared" si="8"/>
        <v>0</v>
      </c>
      <c r="AV65" s="37">
        <f t="shared" si="8"/>
        <v>6196.88</v>
      </c>
      <c r="AW65" s="37">
        <f t="shared" si="8"/>
        <v>72300</v>
      </c>
      <c r="AX65" s="37">
        <f t="shared" si="8"/>
        <v>0</v>
      </c>
      <c r="AY65" s="64">
        <f t="shared" si="2"/>
        <v>0</v>
      </c>
    </row>
    <row r="66" spans="1:51">
      <c r="A66" s="231">
        <v>2478</v>
      </c>
      <c r="B66" s="4">
        <v>132007</v>
      </c>
      <c r="C66" s="4" t="s">
        <v>565</v>
      </c>
      <c r="D66" s="4" t="s">
        <v>566</v>
      </c>
      <c r="E66" s="4" t="s">
        <v>5</v>
      </c>
      <c r="F66" s="232" t="s">
        <v>229</v>
      </c>
      <c r="H66" s="211">
        <v>8179</v>
      </c>
      <c r="I66" s="213">
        <v>0</v>
      </c>
      <c r="J66" s="213">
        <v>15422</v>
      </c>
      <c r="K66" s="211">
        <v>843.75</v>
      </c>
      <c r="L66" s="211">
        <v>0</v>
      </c>
      <c r="M66" s="244">
        <v>12736</v>
      </c>
      <c r="N66" s="244">
        <v>0</v>
      </c>
      <c r="O66" s="244">
        <v>0</v>
      </c>
      <c r="P66" s="244">
        <v>0</v>
      </c>
      <c r="Q66" s="244">
        <v>32808</v>
      </c>
      <c r="R66" s="244">
        <v>15792</v>
      </c>
      <c r="S66" s="244">
        <v>1413.75</v>
      </c>
      <c r="T66" s="244">
        <v>200</v>
      </c>
      <c r="U66" s="244">
        <v>0</v>
      </c>
      <c r="V66" s="244">
        <v>0</v>
      </c>
      <c r="W66" s="244">
        <v>3598</v>
      </c>
      <c r="X66" s="213">
        <v>47109</v>
      </c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29">
        <f t="shared" si="6"/>
        <v>138101.5</v>
      </c>
      <c r="AP66" s="37">
        <f t="shared" si="8"/>
        <v>31756</v>
      </c>
      <c r="AQ66" s="37">
        <f t="shared" si="8"/>
        <v>0</v>
      </c>
      <c r="AR66" s="37">
        <f t="shared" si="8"/>
        <v>15792</v>
      </c>
      <c r="AS66" s="37">
        <f t="shared" si="8"/>
        <v>200</v>
      </c>
      <c r="AT66" s="37">
        <f t="shared" si="8"/>
        <v>0</v>
      </c>
      <c r="AU66" s="37">
        <f t="shared" si="8"/>
        <v>0</v>
      </c>
      <c r="AV66" s="37">
        <f t="shared" si="8"/>
        <v>2257.5</v>
      </c>
      <c r="AW66" s="37">
        <f t="shared" si="8"/>
        <v>88096</v>
      </c>
      <c r="AX66" s="37">
        <f t="shared" si="8"/>
        <v>0</v>
      </c>
      <c r="AY66" s="64">
        <f t="shared" si="2"/>
        <v>0</v>
      </c>
    </row>
    <row r="67" spans="1:51">
      <c r="A67" s="231">
        <v>4063</v>
      </c>
      <c r="B67" s="4">
        <v>103486</v>
      </c>
      <c r="C67" s="4" t="s">
        <v>687</v>
      </c>
      <c r="D67" s="4" t="s">
        <v>688</v>
      </c>
      <c r="E67" s="4" t="s">
        <v>6</v>
      </c>
      <c r="F67" s="232" t="s">
        <v>229</v>
      </c>
      <c r="H67" s="211">
        <v>0</v>
      </c>
      <c r="I67" s="213">
        <v>0</v>
      </c>
      <c r="J67" s="213">
        <v>51455</v>
      </c>
      <c r="K67" s="211">
        <v>9675</v>
      </c>
      <c r="L67" s="211">
        <v>0</v>
      </c>
      <c r="M67" s="244">
        <v>41339</v>
      </c>
      <c r="N67" s="244">
        <v>0</v>
      </c>
      <c r="O67" s="244">
        <v>0</v>
      </c>
      <c r="P67" s="244">
        <v>0</v>
      </c>
      <c r="Q67" s="244">
        <v>0</v>
      </c>
      <c r="R67" s="244">
        <v>92137</v>
      </c>
      <c r="S67" s="244">
        <v>24219</v>
      </c>
      <c r="T67" s="244">
        <v>0</v>
      </c>
      <c r="U67" s="244">
        <v>0</v>
      </c>
      <c r="V67" s="244">
        <v>0</v>
      </c>
      <c r="W67" s="244">
        <v>0</v>
      </c>
      <c r="X67" s="213">
        <v>0</v>
      </c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  <c r="AN67" s="229">
        <f t="shared" si="6"/>
        <v>218825</v>
      </c>
      <c r="AP67" s="37">
        <f t="shared" si="8"/>
        <v>92794</v>
      </c>
      <c r="AQ67" s="37">
        <f t="shared" si="8"/>
        <v>0</v>
      </c>
      <c r="AR67" s="37">
        <f t="shared" si="8"/>
        <v>92137</v>
      </c>
      <c r="AS67" s="37">
        <f t="shared" si="8"/>
        <v>0</v>
      </c>
      <c r="AT67" s="37">
        <f t="shared" si="8"/>
        <v>0</v>
      </c>
      <c r="AU67" s="37">
        <f t="shared" si="8"/>
        <v>0</v>
      </c>
      <c r="AV67" s="37">
        <f t="shared" si="8"/>
        <v>33894</v>
      </c>
      <c r="AW67" s="37">
        <f t="shared" si="8"/>
        <v>0</v>
      </c>
      <c r="AX67" s="37">
        <f t="shared" si="8"/>
        <v>0</v>
      </c>
      <c r="AY67" s="64">
        <f t="shared" si="2"/>
        <v>0</v>
      </c>
    </row>
    <row r="68" spans="1:51">
      <c r="A68" s="231">
        <v>3375</v>
      </c>
      <c r="B68" s="4">
        <v>103462</v>
      </c>
      <c r="C68" s="4" t="s">
        <v>783</v>
      </c>
      <c r="D68" s="4" t="s">
        <v>784</v>
      </c>
      <c r="E68" s="4" t="s">
        <v>5</v>
      </c>
      <c r="F68" s="232" t="s">
        <v>229</v>
      </c>
      <c r="H68" s="211">
        <v>8142</v>
      </c>
      <c r="I68" s="213">
        <v>0</v>
      </c>
      <c r="J68" s="213">
        <v>17369</v>
      </c>
      <c r="K68" s="211">
        <v>3318.75</v>
      </c>
      <c r="L68" s="211">
        <v>0</v>
      </c>
      <c r="M68" s="244">
        <v>14320</v>
      </c>
      <c r="N68" s="244">
        <v>0</v>
      </c>
      <c r="O68" s="244">
        <v>0</v>
      </c>
      <c r="P68" s="244">
        <v>0</v>
      </c>
      <c r="Q68" s="244">
        <v>23033</v>
      </c>
      <c r="R68" s="244">
        <v>42920</v>
      </c>
      <c r="S68" s="244">
        <v>4205</v>
      </c>
      <c r="T68" s="244">
        <v>200</v>
      </c>
      <c r="U68" s="244">
        <v>0</v>
      </c>
      <c r="V68" s="244">
        <v>0</v>
      </c>
      <c r="W68" s="244">
        <v>0</v>
      </c>
      <c r="X68" s="213">
        <v>34211</v>
      </c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29">
        <f t="shared" si="6"/>
        <v>147718.75</v>
      </c>
      <c r="AP68" s="37">
        <f t="shared" si="8"/>
        <v>31689</v>
      </c>
      <c r="AQ68" s="37">
        <f t="shared" si="8"/>
        <v>0</v>
      </c>
      <c r="AR68" s="37">
        <f t="shared" si="8"/>
        <v>42920</v>
      </c>
      <c r="AS68" s="37">
        <f t="shared" si="8"/>
        <v>200</v>
      </c>
      <c r="AT68" s="37">
        <f t="shared" si="8"/>
        <v>0</v>
      </c>
      <c r="AU68" s="37">
        <f t="shared" si="8"/>
        <v>0</v>
      </c>
      <c r="AV68" s="37">
        <f t="shared" si="8"/>
        <v>7523.75</v>
      </c>
      <c r="AW68" s="37">
        <f t="shared" si="8"/>
        <v>65386</v>
      </c>
      <c r="AX68" s="37">
        <f t="shared" si="8"/>
        <v>0</v>
      </c>
      <c r="AY68" s="64">
        <f t="shared" si="2"/>
        <v>0</v>
      </c>
    </row>
    <row r="69" spans="1:51">
      <c r="A69" s="231">
        <v>2010</v>
      </c>
      <c r="B69" s="4">
        <v>103159</v>
      </c>
      <c r="C69" s="4" t="s">
        <v>228</v>
      </c>
      <c r="D69" s="4" t="s">
        <v>230</v>
      </c>
      <c r="E69" s="4" t="s">
        <v>5</v>
      </c>
      <c r="F69" s="232" t="s">
        <v>229</v>
      </c>
      <c r="H69" s="211">
        <v>8367</v>
      </c>
      <c r="I69" s="213">
        <v>0</v>
      </c>
      <c r="J69" s="213">
        <v>20609</v>
      </c>
      <c r="K69" s="211">
        <v>6693.75</v>
      </c>
      <c r="L69" s="211">
        <v>0</v>
      </c>
      <c r="M69" s="244">
        <v>16965</v>
      </c>
      <c r="N69" s="244">
        <v>0</v>
      </c>
      <c r="O69" s="244">
        <v>0</v>
      </c>
      <c r="P69" s="244">
        <v>0</v>
      </c>
      <c r="Q69" s="244">
        <v>14461</v>
      </c>
      <c r="R69" s="244">
        <v>83620</v>
      </c>
      <c r="S69" s="244">
        <v>8192.5</v>
      </c>
      <c r="T69" s="244">
        <v>0</v>
      </c>
      <c r="U69" s="244">
        <v>0</v>
      </c>
      <c r="V69" s="244">
        <v>0</v>
      </c>
      <c r="W69" s="244">
        <v>0</v>
      </c>
      <c r="X69" s="213">
        <v>22994</v>
      </c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212"/>
      <c r="AN69" s="229">
        <f t="shared" si="6"/>
        <v>181902.25</v>
      </c>
      <c r="AP69" s="37">
        <f t="shared" si="8"/>
        <v>37574</v>
      </c>
      <c r="AQ69" s="37">
        <f t="shared" si="8"/>
        <v>0</v>
      </c>
      <c r="AR69" s="37">
        <f t="shared" si="8"/>
        <v>83620</v>
      </c>
      <c r="AS69" s="37">
        <f t="shared" si="8"/>
        <v>0</v>
      </c>
      <c r="AT69" s="37">
        <f t="shared" si="8"/>
        <v>0</v>
      </c>
      <c r="AU69" s="37">
        <f t="shared" si="8"/>
        <v>0</v>
      </c>
      <c r="AV69" s="37">
        <f t="shared" si="8"/>
        <v>14886.25</v>
      </c>
      <c r="AW69" s="37">
        <f t="shared" si="8"/>
        <v>45822</v>
      </c>
      <c r="AX69" s="37">
        <f t="shared" si="8"/>
        <v>0</v>
      </c>
      <c r="AY69" s="64">
        <f t="shared" si="2"/>
        <v>0</v>
      </c>
    </row>
    <row r="70" spans="1:51" s="218" customFormat="1" ht="15" thickBot="1">
      <c r="A70" s="233"/>
      <c r="B70" s="214"/>
      <c r="C70" s="214"/>
      <c r="D70" s="226" t="s">
        <v>1096</v>
      </c>
      <c r="E70" s="214"/>
      <c r="F70" s="234"/>
      <c r="G70"/>
      <c r="H70" s="258">
        <f>SUM(H7:H69)</f>
        <v>348688</v>
      </c>
      <c r="I70" s="258">
        <f t="shared" ref="I70:AN70" si="9">SUM(I7:I69)</f>
        <v>818260.15999999992</v>
      </c>
      <c r="J70" s="258">
        <f t="shared" si="9"/>
        <v>1547451</v>
      </c>
      <c r="K70" s="258">
        <f t="shared" si="9"/>
        <v>347826.69000000012</v>
      </c>
      <c r="L70" s="258">
        <f t="shared" si="9"/>
        <v>1200</v>
      </c>
      <c r="M70" s="258">
        <f t="shared" si="9"/>
        <v>1257033</v>
      </c>
      <c r="N70" s="258">
        <f t="shared" si="9"/>
        <v>1200</v>
      </c>
      <c r="O70" s="258">
        <f t="shared" si="9"/>
        <v>94608</v>
      </c>
      <c r="P70" s="258">
        <f t="shared" si="9"/>
        <v>3600</v>
      </c>
      <c r="Q70" s="258">
        <f t="shared" si="9"/>
        <v>826073</v>
      </c>
      <c r="R70" s="258">
        <f t="shared" si="9"/>
        <v>3696063</v>
      </c>
      <c r="S70" s="258">
        <f t="shared" si="9"/>
        <v>735330.25</v>
      </c>
      <c r="T70" s="258">
        <f t="shared" si="9"/>
        <v>15400</v>
      </c>
      <c r="U70" s="258">
        <f t="shared" si="9"/>
        <v>203003</v>
      </c>
      <c r="V70" s="258">
        <f t="shared" si="9"/>
        <v>613351.30000000005</v>
      </c>
      <c r="W70" s="258">
        <f t="shared" si="9"/>
        <v>39578</v>
      </c>
      <c r="X70" s="258">
        <f t="shared" si="9"/>
        <v>1195408</v>
      </c>
      <c r="Y70" s="258">
        <f t="shared" si="9"/>
        <v>0</v>
      </c>
      <c r="Z70" s="258">
        <f t="shared" si="9"/>
        <v>0</v>
      </c>
      <c r="AA70" s="258">
        <f t="shared" si="9"/>
        <v>0</v>
      </c>
      <c r="AB70" s="258">
        <f t="shared" si="9"/>
        <v>0</v>
      </c>
      <c r="AC70" s="258">
        <f t="shared" si="9"/>
        <v>0</v>
      </c>
      <c r="AD70" s="258">
        <f t="shared" si="9"/>
        <v>0</v>
      </c>
      <c r="AE70" s="258">
        <f t="shared" si="9"/>
        <v>0</v>
      </c>
      <c r="AF70" s="258">
        <f t="shared" si="9"/>
        <v>0</v>
      </c>
      <c r="AG70" s="258">
        <f t="shared" si="9"/>
        <v>0</v>
      </c>
      <c r="AH70" s="258">
        <f t="shared" si="9"/>
        <v>0</v>
      </c>
      <c r="AI70" s="258">
        <f t="shared" si="9"/>
        <v>0</v>
      </c>
      <c r="AJ70" s="258">
        <f t="shared" si="9"/>
        <v>0</v>
      </c>
      <c r="AK70" s="258">
        <f t="shared" si="9"/>
        <v>0</v>
      </c>
      <c r="AL70" s="258">
        <f t="shared" si="9"/>
        <v>0</v>
      </c>
      <c r="AM70" s="258">
        <f t="shared" si="9"/>
        <v>0</v>
      </c>
      <c r="AN70" s="258">
        <f t="shared" si="9"/>
        <v>11744073.400000002</v>
      </c>
      <c r="AP70" s="257">
        <f>SUM(AP7:AP69)</f>
        <v>4478676.46</v>
      </c>
      <c r="AQ70" s="257">
        <f t="shared" ref="AQ70:AY70" si="10">SUM(AQ7:AQ69)</f>
        <v>0</v>
      </c>
      <c r="AR70" s="257">
        <f t="shared" si="10"/>
        <v>3696063</v>
      </c>
      <c r="AS70" s="257">
        <f t="shared" si="10"/>
        <v>21400</v>
      </c>
      <c r="AT70" s="257">
        <f t="shared" si="10"/>
        <v>0</v>
      </c>
      <c r="AU70" s="257">
        <f t="shared" si="10"/>
        <v>0</v>
      </c>
      <c r="AV70" s="257">
        <f t="shared" si="10"/>
        <v>1177764.9399999997</v>
      </c>
      <c r="AW70" s="257">
        <f t="shared" si="10"/>
        <v>2370169</v>
      </c>
      <c r="AX70" s="257">
        <f t="shared" si="10"/>
        <v>0</v>
      </c>
      <c r="AY70" s="257">
        <f t="shared" si="10"/>
        <v>0</v>
      </c>
    </row>
    <row r="71" spans="1:51" ht="15" thickTop="1">
      <c r="A71" s="231"/>
      <c r="B71" s="4"/>
      <c r="C71" s="4"/>
      <c r="D71" s="4"/>
      <c r="E71" s="4"/>
      <c r="F71" s="232"/>
      <c r="H71" s="213"/>
      <c r="I71" s="244"/>
      <c r="J71" s="244"/>
      <c r="K71" s="213"/>
      <c r="L71" s="213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44"/>
      <c r="AK71" s="244"/>
      <c r="AL71" s="244"/>
      <c r="AM71" s="244"/>
      <c r="AN71" s="245"/>
      <c r="AP71" s="37"/>
      <c r="AQ71" s="37"/>
      <c r="AR71" s="37"/>
      <c r="AS71" s="37"/>
      <c r="AT71" s="37"/>
      <c r="AU71" s="37"/>
      <c r="AV71" s="37"/>
      <c r="AW71" s="37"/>
      <c r="AX71" s="37"/>
      <c r="AY71" s="64"/>
    </row>
    <row r="72" spans="1:51">
      <c r="A72" s="231">
        <v>1021</v>
      </c>
      <c r="B72" s="4">
        <v>103134</v>
      </c>
      <c r="C72" s="4" t="s">
        <v>670</v>
      </c>
      <c r="D72" s="4" t="s">
        <v>671</v>
      </c>
      <c r="E72" s="4" t="s">
        <v>180</v>
      </c>
      <c r="F72" s="232" t="s">
        <v>411</v>
      </c>
      <c r="H72" s="211">
        <v>0</v>
      </c>
      <c r="I72" s="212">
        <v>0</v>
      </c>
      <c r="J72" s="212">
        <v>0</v>
      </c>
      <c r="K72" s="211">
        <v>0</v>
      </c>
      <c r="L72" s="211">
        <v>0</v>
      </c>
      <c r="M72" s="212">
        <v>0</v>
      </c>
      <c r="N72" s="244">
        <v>0</v>
      </c>
      <c r="O72" s="212">
        <v>0</v>
      </c>
      <c r="P72" s="212">
        <v>0</v>
      </c>
      <c r="Q72" s="212">
        <v>0</v>
      </c>
      <c r="R72" s="212">
        <v>0</v>
      </c>
      <c r="S72" s="212">
        <v>0</v>
      </c>
      <c r="T72" s="212">
        <v>0</v>
      </c>
      <c r="U72" s="212"/>
      <c r="V72" s="212">
        <v>0</v>
      </c>
      <c r="W72" s="212">
        <v>0</v>
      </c>
      <c r="X72" s="212">
        <v>0</v>
      </c>
      <c r="Y72" s="21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212"/>
      <c r="AM72" s="212"/>
      <c r="AN72" s="229">
        <f t="shared" ref="AN72:AN103" si="11">SUM(H72:AM72)</f>
        <v>0</v>
      </c>
      <c r="AP72" s="37">
        <f t="shared" ref="AP72:AX81" si="12">SUMIF($H$3:$AM$3,AP$6,$H72:$AM72)</f>
        <v>0</v>
      </c>
      <c r="AQ72" s="37">
        <f t="shared" si="12"/>
        <v>0</v>
      </c>
      <c r="AR72" s="37">
        <f t="shared" si="12"/>
        <v>0</v>
      </c>
      <c r="AS72" s="37">
        <f t="shared" si="12"/>
        <v>0</v>
      </c>
      <c r="AT72" s="37">
        <f t="shared" si="12"/>
        <v>0</v>
      </c>
      <c r="AU72" s="37">
        <f t="shared" si="12"/>
        <v>0</v>
      </c>
      <c r="AV72" s="37">
        <f t="shared" si="12"/>
        <v>0</v>
      </c>
      <c r="AW72" s="37">
        <f t="shared" si="12"/>
        <v>0</v>
      </c>
      <c r="AX72" s="37">
        <f t="shared" si="12"/>
        <v>0</v>
      </c>
      <c r="AY72" s="64">
        <f>SUM(AP72:AX72)-AN72</f>
        <v>0</v>
      </c>
    </row>
    <row r="73" spans="1:51">
      <c r="A73" s="231">
        <v>1027</v>
      </c>
      <c r="B73" s="4">
        <v>103140</v>
      </c>
      <c r="C73" s="4" t="s">
        <v>410</v>
      </c>
      <c r="D73" s="4" t="s">
        <v>412</v>
      </c>
      <c r="E73" s="4" t="s">
        <v>180</v>
      </c>
      <c r="F73" s="232" t="s">
        <v>411</v>
      </c>
      <c r="H73" s="211">
        <v>0</v>
      </c>
      <c r="I73" s="212">
        <v>0</v>
      </c>
      <c r="J73" s="212">
        <v>0</v>
      </c>
      <c r="K73" s="211">
        <v>0</v>
      </c>
      <c r="L73" s="211">
        <v>0</v>
      </c>
      <c r="M73" s="212">
        <v>0</v>
      </c>
      <c r="N73" s="244">
        <v>0</v>
      </c>
      <c r="O73" s="212">
        <v>0</v>
      </c>
      <c r="P73" s="212">
        <v>0</v>
      </c>
      <c r="Q73" s="212">
        <v>0</v>
      </c>
      <c r="R73" s="212">
        <v>0</v>
      </c>
      <c r="S73" s="212">
        <v>0</v>
      </c>
      <c r="T73" s="212">
        <v>200</v>
      </c>
      <c r="U73" s="212"/>
      <c r="V73" s="212">
        <v>0</v>
      </c>
      <c r="W73" s="212">
        <v>0</v>
      </c>
      <c r="X73" s="212">
        <v>0</v>
      </c>
      <c r="Y73" s="212"/>
      <c r="Z73" s="212"/>
      <c r="AA73" s="212"/>
      <c r="AB73" s="212"/>
      <c r="AC73" s="212"/>
      <c r="AD73" s="212"/>
      <c r="AE73" s="212"/>
      <c r="AF73" s="212"/>
      <c r="AG73" s="212"/>
      <c r="AH73" s="212"/>
      <c r="AI73" s="212"/>
      <c r="AJ73" s="212"/>
      <c r="AK73" s="212"/>
      <c r="AL73" s="212"/>
      <c r="AM73" s="212"/>
      <c r="AN73" s="229">
        <f t="shared" si="11"/>
        <v>200</v>
      </c>
      <c r="AP73" s="37">
        <f t="shared" si="12"/>
        <v>0</v>
      </c>
      <c r="AQ73" s="37">
        <f t="shared" si="12"/>
        <v>0</v>
      </c>
      <c r="AR73" s="37">
        <f t="shared" si="12"/>
        <v>0</v>
      </c>
      <c r="AS73" s="37">
        <f t="shared" si="12"/>
        <v>200</v>
      </c>
      <c r="AT73" s="37">
        <f t="shared" si="12"/>
        <v>0</v>
      </c>
      <c r="AU73" s="37">
        <f t="shared" si="12"/>
        <v>0</v>
      </c>
      <c r="AV73" s="37">
        <f t="shared" si="12"/>
        <v>0</v>
      </c>
      <c r="AW73" s="37">
        <f t="shared" si="12"/>
        <v>0</v>
      </c>
      <c r="AX73" s="37">
        <f t="shared" si="12"/>
        <v>0</v>
      </c>
      <c r="AY73" s="64">
        <f t="shared" ref="AY73:AY136" si="13">SUM(AP73:AX73)-AN73</f>
        <v>0</v>
      </c>
    </row>
    <row r="74" spans="1:51">
      <c r="A74" s="231">
        <v>1802</v>
      </c>
      <c r="B74" s="4">
        <v>103150</v>
      </c>
      <c r="C74" s="4" t="s">
        <v>451</v>
      </c>
      <c r="D74" s="4" t="s">
        <v>452</v>
      </c>
      <c r="E74" s="4" t="s">
        <v>180</v>
      </c>
      <c r="F74" s="232" t="s">
        <v>411</v>
      </c>
      <c r="H74" s="211">
        <v>0</v>
      </c>
      <c r="I74" s="212">
        <v>0</v>
      </c>
      <c r="J74" s="212">
        <v>0</v>
      </c>
      <c r="K74" s="211">
        <v>0</v>
      </c>
      <c r="L74" s="211">
        <v>0</v>
      </c>
      <c r="M74" s="212">
        <v>0</v>
      </c>
      <c r="N74" s="244">
        <v>0</v>
      </c>
      <c r="O74" s="212">
        <v>0</v>
      </c>
      <c r="P74" s="212">
        <v>0</v>
      </c>
      <c r="Q74" s="212">
        <v>0</v>
      </c>
      <c r="R74" s="212">
        <v>0</v>
      </c>
      <c r="S74" s="212">
        <v>0</v>
      </c>
      <c r="T74" s="212">
        <v>0</v>
      </c>
      <c r="U74" s="212"/>
      <c r="V74" s="212">
        <v>0</v>
      </c>
      <c r="W74" s="212">
        <v>0</v>
      </c>
      <c r="X74" s="212">
        <v>0</v>
      </c>
      <c r="Y74" s="212"/>
      <c r="Z74" s="212"/>
      <c r="AA74" s="212"/>
      <c r="AB74" s="212"/>
      <c r="AC74" s="212"/>
      <c r="AD74" s="212"/>
      <c r="AE74" s="212"/>
      <c r="AF74" s="212"/>
      <c r="AG74" s="212"/>
      <c r="AH74" s="212"/>
      <c r="AI74" s="212"/>
      <c r="AJ74" s="212"/>
      <c r="AK74" s="212"/>
      <c r="AL74" s="212"/>
      <c r="AM74" s="212"/>
      <c r="AN74" s="229">
        <f t="shared" si="11"/>
        <v>0</v>
      </c>
      <c r="AP74" s="37">
        <f t="shared" si="12"/>
        <v>0</v>
      </c>
      <c r="AQ74" s="37">
        <f t="shared" si="12"/>
        <v>0</v>
      </c>
      <c r="AR74" s="37">
        <f t="shared" si="12"/>
        <v>0</v>
      </c>
      <c r="AS74" s="37">
        <f t="shared" si="12"/>
        <v>0</v>
      </c>
      <c r="AT74" s="37">
        <f t="shared" si="12"/>
        <v>0</v>
      </c>
      <c r="AU74" s="37">
        <f t="shared" si="12"/>
        <v>0</v>
      </c>
      <c r="AV74" s="37">
        <f t="shared" si="12"/>
        <v>0</v>
      </c>
      <c r="AW74" s="37">
        <f t="shared" si="12"/>
        <v>0</v>
      </c>
      <c r="AX74" s="37">
        <f t="shared" si="12"/>
        <v>0</v>
      </c>
      <c r="AY74" s="64">
        <f t="shared" si="13"/>
        <v>0</v>
      </c>
    </row>
    <row r="75" spans="1:51">
      <c r="A75" s="231">
        <v>5949</v>
      </c>
      <c r="B75" s="4">
        <v>131465</v>
      </c>
      <c r="C75" s="4" t="s">
        <v>580</v>
      </c>
      <c r="D75" s="4" t="s">
        <v>581</v>
      </c>
      <c r="E75" s="4" t="s">
        <v>5</v>
      </c>
      <c r="F75" s="232" t="s">
        <v>411</v>
      </c>
      <c r="H75" s="211">
        <v>8908</v>
      </c>
      <c r="I75" s="212">
        <v>0</v>
      </c>
      <c r="J75" s="212">
        <v>27084</v>
      </c>
      <c r="K75" s="211">
        <v>5962.5</v>
      </c>
      <c r="L75" s="211">
        <v>0</v>
      </c>
      <c r="M75" s="212">
        <v>22317</v>
      </c>
      <c r="N75" s="244">
        <v>0</v>
      </c>
      <c r="O75" s="212">
        <v>0</v>
      </c>
      <c r="P75" s="212">
        <v>0</v>
      </c>
      <c r="Q75" s="212">
        <v>38996</v>
      </c>
      <c r="R75" s="212">
        <v>85742</v>
      </c>
      <c r="S75" s="212">
        <v>8373.75</v>
      </c>
      <c r="T75" s="212">
        <v>0</v>
      </c>
      <c r="U75" s="212"/>
      <c r="V75" s="212">
        <v>0</v>
      </c>
      <c r="W75" s="212">
        <v>0</v>
      </c>
      <c r="X75" s="212">
        <v>53419</v>
      </c>
      <c r="Y75" s="212"/>
      <c r="Z75" s="212"/>
      <c r="AA75" s="212"/>
      <c r="AB75" s="212"/>
      <c r="AC75" s="212"/>
      <c r="AD75" s="212"/>
      <c r="AE75" s="212"/>
      <c r="AF75" s="212"/>
      <c r="AG75" s="212"/>
      <c r="AH75" s="212"/>
      <c r="AI75" s="212"/>
      <c r="AJ75" s="212"/>
      <c r="AK75" s="212"/>
      <c r="AL75" s="212"/>
      <c r="AM75" s="212"/>
      <c r="AN75" s="229">
        <f t="shared" si="11"/>
        <v>250802.25</v>
      </c>
      <c r="AP75" s="37">
        <f t="shared" si="12"/>
        <v>49401</v>
      </c>
      <c r="AQ75" s="37">
        <f t="shared" si="12"/>
        <v>0</v>
      </c>
      <c r="AR75" s="37">
        <f t="shared" si="12"/>
        <v>85742</v>
      </c>
      <c r="AS75" s="37">
        <f t="shared" si="12"/>
        <v>0</v>
      </c>
      <c r="AT75" s="37">
        <f t="shared" si="12"/>
        <v>0</v>
      </c>
      <c r="AU75" s="37">
        <f t="shared" si="12"/>
        <v>0</v>
      </c>
      <c r="AV75" s="37">
        <f t="shared" si="12"/>
        <v>14336.25</v>
      </c>
      <c r="AW75" s="37">
        <f t="shared" si="12"/>
        <v>101323</v>
      </c>
      <c r="AX75" s="37">
        <f t="shared" si="12"/>
        <v>0</v>
      </c>
      <c r="AY75" s="64">
        <f t="shared" si="13"/>
        <v>0</v>
      </c>
    </row>
    <row r="76" spans="1:51">
      <c r="A76" s="231">
        <v>2062</v>
      </c>
      <c r="B76" s="4">
        <v>103192</v>
      </c>
      <c r="C76" s="4" t="s">
        <v>583</v>
      </c>
      <c r="D76" s="4" t="s">
        <v>584</v>
      </c>
      <c r="E76" s="4" t="s">
        <v>5</v>
      </c>
      <c r="F76" s="232" t="s">
        <v>411</v>
      </c>
      <c r="H76" s="211">
        <v>8175</v>
      </c>
      <c r="I76" s="212">
        <v>0</v>
      </c>
      <c r="J76" s="212">
        <v>19181</v>
      </c>
      <c r="K76" s="211">
        <v>5034.38</v>
      </c>
      <c r="L76" s="211">
        <v>0</v>
      </c>
      <c r="M76" s="212">
        <v>15795</v>
      </c>
      <c r="N76" s="244">
        <v>0</v>
      </c>
      <c r="O76" s="212">
        <v>0</v>
      </c>
      <c r="P76" s="212">
        <v>0</v>
      </c>
      <c r="Q76" s="212">
        <v>19848</v>
      </c>
      <c r="R76" s="212">
        <v>73795</v>
      </c>
      <c r="S76" s="212">
        <v>7123.25</v>
      </c>
      <c r="T76" s="212">
        <v>0</v>
      </c>
      <c r="U76" s="212"/>
      <c r="V76" s="212">
        <v>0</v>
      </c>
      <c r="W76" s="212">
        <v>3598</v>
      </c>
      <c r="X76" s="212">
        <v>25237</v>
      </c>
      <c r="Y76" s="212"/>
      <c r="Z76" s="212"/>
      <c r="AA76" s="212"/>
      <c r="AB76" s="212"/>
      <c r="AC76" s="212"/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  <c r="AN76" s="229">
        <f t="shared" si="11"/>
        <v>177786.63</v>
      </c>
      <c r="AP76" s="37">
        <f t="shared" si="12"/>
        <v>38574</v>
      </c>
      <c r="AQ76" s="37">
        <f t="shared" si="12"/>
        <v>0</v>
      </c>
      <c r="AR76" s="37">
        <f t="shared" si="12"/>
        <v>73795</v>
      </c>
      <c r="AS76" s="37">
        <f t="shared" si="12"/>
        <v>0</v>
      </c>
      <c r="AT76" s="37">
        <f t="shared" si="12"/>
        <v>0</v>
      </c>
      <c r="AU76" s="37">
        <f t="shared" si="12"/>
        <v>0</v>
      </c>
      <c r="AV76" s="37">
        <f t="shared" si="12"/>
        <v>12157.630000000001</v>
      </c>
      <c r="AW76" s="37">
        <f t="shared" si="12"/>
        <v>53260</v>
      </c>
      <c r="AX76" s="37">
        <f t="shared" si="12"/>
        <v>0</v>
      </c>
      <c r="AY76" s="64">
        <f t="shared" si="13"/>
        <v>0</v>
      </c>
    </row>
    <row r="77" spans="1:51">
      <c r="A77" s="231">
        <v>2014</v>
      </c>
      <c r="B77" s="4">
        <v>103162</v>
      </c>
      <c r="C77" s="4" t="s">
        <v>586</v>
      </c>
      <c r="D77" s="4" t="s">
        <v>587</v>
      </c>
      <c r="E77" s="4" t="s">
        <v>5</v>
      </c>
      <c r="F77" s="232" t="s">
        <v>411</v>
      </c>
      <c r="H77" s="211">
        <v>8054</v>
      </c>
      <c r="I77" s="212">
        <v>0</v>
      </c>
      <c r="J77" s="212">
        <v>17952</v>
      </c>
      <c r="K77" s="211">
        <v>4781.25</v>
      </c>
      <c r="L77" s="211">
        <v>0</v>
      </c>
      <c r="M77" s="212">
        <v>14788</v>
      </c>
      <c r="N77" s="244">
        <v>0</v>
      </c>
      <c r="O77" s="212">
        <v>0</v>
      </c>
      <c r="P77" s="212">
        <v>0</v>
      </c>
      <c r="Q77" s="212">
        <v>22392</v>
      </c>
      <c r="R77" s="212">
        <v>60680</v>
      </c>
      <c r="S77" s="212">
        <v>5945</v>
      </c>
      <c r="T77" s="212">
        <v>800</v>
      </c>
      <c r="U77" s="212"/>
      <c r="V77" s="212">
        <v>0</v>
      </c>
      <c r="W77" s="212">
        <v>3598</v>
      </c>
      <c r="X77" s="212">
        <v>29584</v>
      </c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2"/>
      <c r="AK77" s="212"/>
      <c r="AL77" s="212"/>
      <c r="AM77" s="212"/>
      <c r="AN77" s="229">
        <f t="shared" si="11"/>
        <v>168574.25</v>
      </c>
      <c r="AP77" s="37">
        <f t="shared" si="12"/>
        <v>36338</v>
      </c>
      <c r="AQ77" s="37">
        <f t="shared" si="12"/>
        <v>0</v>
      </c>
      <c r="AR77" s="37">
        <f t="shared" si="12"/>
        <v>60680</v>
      </c>
      <c r="AS77" s="37">
        <f t="shared" si="12"/>
        <v>800</v>
      </c>
      <c r="AT77" s="37">
        <f t="shared" si="12"/>
        <v>0</v>
      </c>
      <c r="AU77" s="37">
        <f t="shared" si="12"/>
        <v>0</v>
      </c>
      <c r="AV77" s="37">
        <f t="shared" si="12"/>
        <v>10726.25</v>
      </c>
      <c r="AW77" s="37">
        <f t="shared" si="12"/>
        <v>60030</v>
      </c>
      <c r="AX77" s="37">
        <f t="shared" si="12"/>
        <v>0</v>
      </c>
      <c r="AY77" s="64">
        <f t="shared" si="13"/>
        <v>0</v>
      </c>
    </row>
    <row r="78" spans="1:51">
      <c r="A78" s="231">
        <v>7052</v>
      </c>
      <c r="B78" s="4">
        <v>103627</v>
      </c>
      <c r="C78" s="4" t="s">
        <v>589</v>
      </c>
      <c r="D78" s="4" t="s">
        <v>590</v>
      </c>
      <c r="E78" s="4" t="s">
        <v>1093</v>
      </c>
      <c r="F78" s="232" t="s">
        <v>411</v>
      </c>
      <c r="H78" s="211">
        <v>7033</v>
      </c>
      <c r="I78" s="212">
        <v>56225.48</v>
      </c>
      <c r="J78" s="212">
        <v>0</v>
      </c>
      <c r="K78" s="211">
        <v>3304.69</v>
      </c>
      <c r="L78" s="211">
        <v>0</v>
      </c>
      <c r="M78" s="212">
        <v>0</v>
      </c>
      <c r="N78" s="244">
        <v>0</v>
      </c>
      <c r="O78" s="212">
        <v>0</v>
      </c>
      <c r="P78" s="212">
        <v>0</v>
      </c>
      <c r="Q78" s="212">
        <v>2423</v>
      </c>
      <c r="R78" s="212">
        <v>16922</v>
      </c>
      <c r="S78" s="212">
        <v>6670</v>
      </c>
      <c r="T78" s="212">
        <v>0</v>
      </c>
      <c r="U78" s="212"/>
      <c r="V78" s="212">
        <v>42145.48</v>
      </c>
      <c r="W78" s="212">
        <v>0</v>
      </c>
      <c r="X78" s="212">
        <v>3786</v>
      </c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29">
        <f t="shared" si="11"/>
        <v>138509.65</v>
      </c>
      <c r="AP78" s="37">
        <f t="shared" si="12"/>
        <v>98370.96</v>
      </c>
      <c r="AQ78" s="37">
        <f t="shared" si="12"/>
        <v>0</v>
      </c>
      <c r="AR78" s="37">
        <f t="shared" si="12"/>
        <v>16922</v>
      </c>
      <c r="AS78" s="37">
        <f t="shared" si="12"/>
        <v>0</v>
      </c>
      <c r="AT78" s="37">
        <f t="shared" si="12"/>
        <v>0</v>
      </c>
      <c r="AU78" s="37">
        <f t="shared" si="12"/>
        <v>0</v>
      </c>
      <c r="AV78" s="37">
        <f t="shared" si="12"/>
        <v>9974.69</v>
      </c>
      <c r="AW78" s="37">
        <f t="shared" si="12"/>
        <v>13242</v>
      </c>
      <c r="AX78" s="37">
        <f t="shared" si="12"/>
        <v>0</v>
      </c>
      <c r="AY78" s="64">
        <f t="shared" si="13"/>
        <v>0</v>
      </c>
    </row>
    <row r="79" spans="1:51">
      <c r="A79" s="231">
        <v>2017</v>
      </c>
      <c r="B79" s="4">
        <v>103164</v>
      </c>
      <c r="C79" s="4" t="s">
        <v>592</v>
      </c>
      <c r="D79" s="4" t="s">
        <v>593</v>
      </c>
      <c r="E79" s="4" t="s">
        <v>5</v>
      </c>
      <c r="F79" s="232" t="s">
        <v>411</v>
      </c>
      <c r="H79" s="211">
        <v>7417</v>
      </c>
      <c r="I79" s="212">
        <v>0</v>
      </c>
      <c r="J79" s="212">
        <v>11841</v>
      </c>
      <c r="K79" s="211">
        <v>1771.88</v>
      </c>
      <c r="L79" s="211">
        <v>0</v>
      </c>
      <c r="M79" s="212">
        <v>9759</v>
      </c>
      <c r="N79" s="244">
        <v>0</v>
      </c>
      <c r="O79" s="212">
        <v>0</v>
      </c>
      <c r="P79" s="212">
        <v>0</v>
      </c>
      <c r="Q79" s="212">
        <v>26478</v>
      </c>
      <c r="R79" s="212">
        <v>32560</v>
      </c>
      <c r="S79" s="212">
        <v>3190</v>
      </c>
      <c r="T79" s="212">
        <v>600</v>
      </c>
      <c r="U79" s="212"/>
      <c r="V79" s="212">
        <v>0</v>
      </c>
      <c r="W79" s="212">
        <v>0</v>
      </c>
      <c r="X79" s="212">
        <v>38837</v>
      </c>
      <c r="Y79" s="212"/>
      <c r="Z79" s="212"/>
      <c r="AA79" s="212"/>
      <c r="AB79" s="212"/>
      <c r="AC79" s="212"/>
      <c r="AD79" s="212"/>
      <c r="AE79" s="212"/>
      <c r="AF79" s="212"/>
      <c r="AG79" s="212"/>
      <c r="AH79" s="212"/>
      <c r="AI79" s="212"/>
      <c r="AJ79" s="212"/>
      <c r="AK79" s="212"/>
      <c r="AL79" s="212"/>
      <c r="AM79" s="212"/>
      <c r="AN79" s="229">
        <f t="shared" si="11"/>
        <v>132453.88</v>
      </c>
      <c r="AP79" s="37">
        <f t="shared" si="12"/>
        <v>21600</v>
      </c>
      <c r="AQ79" s="37">
        <f t="shared" si="12"/>
        <v>0</v>
      </c>
      <c r="AR79" s="37">
        <f t="shared" si="12"/>
        <v>32560</v>
      </c>
      <c r="AS79" s="37">
        <f t="shared" si="12"/>
        <v>600</v>
      </c>
      <c r="AT79" s="37">
        <f t="shared" si="12"/>
        <v>0</v>
      </c>
      <c r="AU79" s="37">
        <f t="shared" si="12"/>
        <v>0</v>
      </c>
      <c r="AV79" s="37">
        <f t="shared" si="12"/>
        <v>4961.88</v>
      </c>
      <c r="AW79" s="37">
        <f t="shared" si="12"/>
        <v>72732</v>
      </c>
      <c r="AX79" s="37">
        <f t="shared" si="12"/>
        <v>0</v>
      </c>
      <c r="AY79" s="64">
        <f t="shared" si="13"/>
        <v>0</v>
      </c>
    </row>
    <row r="80" spans="1:51">
      <c r="A80" s="231">
        <v>2016</v>
      </c>
      <c r="B80" s="4">
        <v>103163</v>
      </c>
      <c r="C80" s="4" t="s">
        <v>595</v>
      </c>
      <c r="D80" s="4" t="s">
        <v>596</v>
      </c>
      <c r="E80" s="4" t="s">
        <v>5</v>
      </c>
      <c r="F80" s="232" t="s">
        <v>411</v>
      </c>
      <c r="H80" s="211">
        <v>8162</v>
      </c>
      <c r="I80" s="212">
        <v>0</v>
      </c>
      <c r="J80" s="212">
        <v>16269</v>
      </c>
      <c r="K80" s="211">
        <v>4021.88</v>
      </c>
      <c r="L80" s="211">
        <v>0</v>
      </c>
      <c r="M80" s="212">
        <v>13404</v>
      </c>
      <c r="N80" s="244">
        <v>0</v>
      </c>
      <c r="O80" s="212">
        <v>0</v>
      </c>
      <c r="P80" s="212">
        <v>0</v>
      </c>
      <c r="Q80" s="212">
        <v>0</v>
      </c>
      <c r="R80" s="212">
        <v>54642</v>
      </c>
      <c r="S80" s="212">
        <v>5220</v>
      </c>
      <c r="T80" s="212">
        <v>200</v>
      </c>
      <c r="U80" s="212"/>
      <c r="V80" s="212">
        <v>0</v>
      </c>
      <c r="W80" s="212">
        <v>0</v>
      </c>
      <c r="X80" s="212">
        <v>0</v>
      </c>
      <c r="Y80" s="212"/>
      <c r="Z80" s="212"/>
      <c r="AA80" s="212"/>
      <c r="AB80" s="212"/>
      <c r="AC80" s="212"/>
      <c r="AD80" s="212"/>
      <c r="AE80" s="212"/>
      <c r="AF80" s="212"/>
      <c r="AG80" s="212"/>
      <c r="AH80" s="212"/>
      <c r="AI80" s="212"/>
      <c r="AJ80" s="212"/>
      <c r="AK80" s="212"/>
      <c r="AL80" s="212"/>
      <c r="AM80" s="212"/>
      <c r="AN80" s="229">
        <f t="shared" si="11"/>
        <v>101918.88</v>
      </c>
      <c r="AP80" s="37">
        <f t="shared" si="12"/>
        <v>29673</v>
      </c>
      <c r="AQ80" s="37">
        <f t="shared" si="12"/>
        <v>0</v>
      </c>
      <c r="AR80" s="37">
        <f t="shared" si="12"/>
        <v>54642</v>
      </c>
      <c r="AS80" s="37">
        <f t="shared" si="12"/>
        <v>200</v>
      </c>
      <c r="AT80" s="37">
        <f t="shared" si="12"/>
        <v>0</v>
      </c>
      <c r="AU80" s="37">
        <f t="shared" si="12"/>
        <v>0</v>
      </c>
      <c r="AV80" s="37">
        <f t="shared" si="12"/>
        <v>9241.880000000001</v>
      </c>
      <c r="AW80" s="37">
        <f t="shared" si="12"/>
        <v>8162</v>
      </c>
      <c r="AX80" s="37">
        <f t="shared" si="12"/>
        <v>0</v>
      </c>
      <c r="AY80" s="64">
        <f t="shared" si="13"/>
        <v>0</v>
      </c>
    </row>
    <row r="81" spans="1:51">
      <c r="A81" s="231">
        <v>2241</v>
      </c>
      <c r="B81" s="4">
        <v>103291</v>
      </c>
      <c r="C81" s="4" t="s">
        <v>598</v>
      </c>
      <c r="D81" s="4" t="s">
        <v>599</v>
      </c>
      <c r="E81" s="4" t="s">
        <v>5</v>
      </c>
      <c r="F81" s="232" t="s">
        <v>411</v>
      </c>
      <c r="H81" s="211">
        <v>7792</v>
      </c>
      <c r="I81" s="212">
        <v>0</v>
      </c>
      <c r="J81" s="212">
        <v>12604</v>
      </c>
      <c r="K81" s="211">
        <v>4275</v>
      </c>
      <c r="L81" s="211">
        <v>0</v>
      </c>
      <c r="M81" s="212">
        <v>10374</v>
      </c>
      <c r="N81" s="244">
        <v>0</v>
      </c>
      <c r="O81" s="212">
        <v>0</v>
      </c>
      <c r="P81" s="212">
        <v>0</v>
      </c>
      <c r="Q81" s="212">
        <v>0</v>
      </c>
      <c r="R81" s="212">
        <v>52042</v>
      </c>
      <c r="S81" s="212">
        <v>5038.75</v>
      </c>
      <c r="T81" s="212">
        <v>0</v>
      </c>
      <c r="U81" s="212"/>
      <c r="V81" s="212">
        <v>0</v>
      </c>
      <c r="W81" s="212">
        <v>0</v>
      </c>
      <c r="X81" s="212">
        <v>0</v>
      </c>
      <c r="Y81" s="212"/>
      <c r="Z81" s="212"/>
      <c r="AA81" s="212"/>
      <c r="AB81" s="212"/>
      <c r="AC81" s="212"/>
      <c r="AD81" s="212"/>
      <c r="AE81" s="212"/>
      <c r="AF81" s="212"/>
      <c r="AG81" s="212"/>
      <c r="AH81" s="212"/>
      <c r="AI81" s="212"/>
      <c r="AJ81" s="212"/>
      <c r="AK81" s="212"/>
      <c r="AL81" s="212"/>
      <c r="AM81" s="212"/>
      <c r="AN81" s="229">
        <f t="shared" si="11"/>
        <v>92125.75</v>
      </c>
      <c r="AP81" s="37">
        <f t="shared" si="12"/>
        <v>22978</v>
      </c>
      <c r="AQ81" s="37">
        <f t="shared" si="12"/>
        <v>0</v>
      </c>
      <c r="AR81" s="37">
        <f t="shared" si="12"/>
        <v>52042</v>
      </c>
      <c r="AS81" s="37">
        <f t="shared" si="12"/>
        <v>0</v>
      </c>
      <c r="AT81" s="37">
        <f t="shared" si="12"/>
        <v>0</v>
      </c>
      <c r="AU81" s="37">
        <f t="shared" si="12"/>
        <v>0</v>
      </c>
      <c r="AV81" s="37">
        <f t="shared" si="12"/>
        <v>9313.75</v>
      </c>
      <c r="AW81" s="37">
        <f t="shared" si="12"/>
        <v>7792</v>
      </c>
      <c r="AX81" s="37">
        <f t="shared" si="12"/>
        <v>0</v>
      </c>
      <c r="AY81" s="64">
        <f t="shared" si="13"/>
        <v>0</v>
      </c>
    </row>
    <row r="82" spans="1:51">
      <c r="A82" s="231">
        <v>2456</v>
      </c>
      <c r="B82" s="4">
        <v>103383</v>
      </c>
      <c r="C82" s="4" t="s">
        <v>601</v>
      </c>
      <c r="D82" s="4" t="s">
        <v>602</v>
      </c>
      <c r="E82" s="4" t="s">
        <v>5</v>
      </c>
      <c r="F82" s="232" t="s">
        <v>411</v>
      </c>
      <c r="H82" s="211">
        <v>7375</v>
      </c>
      <c r="I82" s="212">
        <v>0</v>
      </c>
      <c r="J82" s="212">
        <v>9617</v>
      </c>
      <c r="K82" s="211">
        <v>2362.5</v>
      </c>
      <c r="L82" s="211">
        <v>0</v>
      </c>
      <c r="M82" s="212">
        <v>7922</v>
      </c>
      <c r="N82" s="244">
        <v>0</v>
      </c>
      <c r="O82" s="212">
        <v>0</v>
      </c>
      <c r="P82" s="212">
        <v>0</v>
      </c>
      <c r="Q82" s="212">
        <v>12157</v>
      </c>
      <c r="R82" s="212">
        <v>30242</v>
      </c>
      <c r="S82" s="212">
        <v>2936.25</v>
      </c>
      <c r="T82" s="212">
        <v>200</v>
      </c>
      <c r="U82" s="212"/>
      <c r="V82" s="212">
        <v>0</v>
      </c>
      <c r="W82" s="212">
        <v>0</v>
      </c>
      <c r="X82" s="212">
        <v>15844</v>
      </c>
      <c r="Y82" s="212"/>
      <c r="Z82" s="212"/>
      <c r="AA82" s="212"/>
      <c r="AB82" s="212"/>
      <c r="AC82" s="212"/>
      <c r="AD82" s="212"/>
      <c r="AE82" s="212"/>
      <c r="AF82" s="212"/>
      <c r="AG82" s="212"/>
      <c r="AH82" s="212"/>
      <c r="AI82" s="212"/>
      <c r="AJ82" s="212"/>
      <c r="AK82" s="212"/>
      <c r="AL82" s="212"/>
      <c r="AM82" s="212"/>
      <c r="AN82" s="229">
        <f t="shared" si="11"/>
        <v>88655.75</v>
      </c>
      <c r="AP82" s="37">
        <f t="shared" ref="AP82:AX91" si="14">SUMIF($H$3:$AM$3,AP$6,$H82:$AM82)</f>
        <v>17539</v>
      </c>
      <c r="AQ82" s="37">
        <f t="shared" si="14"/>
        <v>0</v>
      </c>
      <c r="AR82" s="37">
        <f t="shared" si="14"/>
        <v>30242</v>
      </c>
      <c r="AS82" s="37">
        <f t="shared" si="14"/>
        <v>200</v>
      </c>
      <c r="AT82" s="37">
        <f t="shared" si="14"/>
        <v>0</v>
      </c>
      <c r="AU82" s="37">
        <f t="shared" si="14"/>
        <v>0</v>
      </c>
      <c r="AV82" s="37">
        <f t="shared" si="14"/>
        <v>5298.75</v>
      </c>
      <c r="AW82" s="37">
        <f t="shared" si="14"/>
        <v>35376</v>
      </c>
      <c r="AX82" s="37">
        <f t="shared" si="14"/>
        <v>0</v>
      </c>
      <c r="AY82" s="64">
        <f t="shared" si="13"/>
        <v>0</v>
      </c>
    </row>
    <row r="83" spans="1:51">
      <c r="A83" s="231">
        <v>2254</v>
      </c>
      <c r="B83" s="4">
        <v>103300</v>
      </c>
      <c r="C83" s="4" t="s">
        <v>604</v>
      </c>
      <c r="D83" s="4" t="s">
        <v>605</v>
      </c>
      <c r="E83" s="4" t="s">
        <v>5</v>
      </c>
      <c r="F83" s="232" t="s">
        <v>411</v>
      </c>
      <c r="H83" s="211">
        <v>8742</v>
      </c>
      <c r="I83" s="212">
        <v>0</v>
      </c>
      <c r="J83" s="212">
        <v>24874</v>
      </c>
      <c r="K83" s="211">
        <v>7314.06</v>
      </c>
      <c r="L83" s="211">
        <v>0</v>
      </c>
      <c r="M83" s="212">
        <v>20482</v>
      </c>
      <c r="N83" s="244">
        <v>0</v>
      </c>
      <c r="O83" s="212">
        <v>0</v>
      </c>
      <c r="P83" s="212">
        <v>0</v>
      </c>
      <c r="Q83" s="212">
        <v>30143</v>
      </c>
      <c r="R83" s="212">
        <v>94720</v>
      </c>
      <c r="S83" s="212">
        <v>9280</v>
      </c>
      <c r="T83" s="212">
        <v>600</v>
      </c>
      <c r="U83" s="212"/>
      <c r="V83" s="212">
        <v>0</v>
      </c>
      <c r="W83" s="212">
        <v>0</v>
      </c>
      <c r="X83" s="212">
        <v>38276</v>
      </c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29">
        <f t="shared" si="11"/>
        <v>234431.06</v>
      </c>
      <c r="AP83" s="37">
        <f t="shared" si="14"/>
        <v>45356</v>
      </c>
      <c r="AQ83" s="37">
        <f t="shared" si="14"/>
        <v>0</v>
      </c>
      <c r="AR83" s="37">
        <f t="shared" si="14"/>
        <v>94720</v>
      </c>
      <c r="AS83" s="37">
        <f t="shared" si="14"/>
        <v>600</v>
      </c>
      <c r="AT83" s="37">
        <f t="shared" si="14"/>
        <v>0</v>
      </c>
      <c r="AU83" s="37">
        <f t="shared" si="14"/>
        <v>0</v>
      </c>
      <c r="AV83" s="37">
        <f t="shared" si="14"/>
        <v>16594.060000000001</v>
      </c>
      <c r="AW83" s="37">
        <f t="shared" si="14"/>
        <v>77161</v>
      </c>
      <c r="AX83" s="37">
        <f t="shared" si="14"/>
        <v>0</v>
      </c>
      <c r="AY83" s="64">
        <f t="shared" si="13"/>
        <v>0</v>
      </c>
    </row>
    <row r="84" spans="1:51">
      <c r="A84" s="231">
        <v>1025</v>
      </c>
      <c r="B84" s="4">
        <v>103138</v>
      </c>
      <c r="C84" s="4" t="s">
        <v>607</v>
      </c>
      <c r="D84" s="4" t="s">
        <v>608</v>
      </c>
      <c r="E84" s="4" t="s">
        <v>180</v>
      </c>
      <c r="F84" s="232" t="s">
        <v>411</v>
      </c>
      <c r="H84" s="211">
        <v>0</v>
      </c>
      <c r="I84" s="212">
        <v>0</v>
      </c>
      <c r="J84" s="212">
        <v>0</v>
      </c>
      <c r="K84" s="211">
        <v>0</v>
      </c>
      <c r="L84" s="211">
        <v>0</v>
      </c>
      <c r="M84" s="212">
        <v>0</v>
      </c>
      <c r="N84" s="244">
        <v>0</v>
      </c>
      <c r="O84" s="212">
        <v>0</v>
      </c>
      <c r="P84" s="212">
        <v>0</v>
      </c>
      <c r="Q84" s="212">
        <v>0</v>
      </c>
      <c r="R84" s="212">
        <v>0</v>
      </c>
      <c r="S84" s="212">
        <v>0</v>
      </c>
      <c r="T84" s="212">
        <v>0</v>
      </c>
      <c r="U84" s="212"/>
      <c r="V84" s="212">
        <v>0</v>
      </c>
      <c r="W84" s="212">
        <v>0</v>
      </c>
      <c r="X84" s="212">
        <v>0</v>
      </c>
      <c r="Y84" s="212"/>
      <c r="Z84" s="212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29">
        <f t="shared" si="11"/>
        <v>0</v>
      </c>
      <c r="AP84" s="37">
        <f t="shared" si="14"/>
        <v>0</v>
      </c>
      <c r="AQ84" s="37">
        <f t="shared" si="14"/>
        <v>0</v>
      </c>
      <c r="AR84" s="37">
        <f t="shared" si="14"/>
        <v>0</v>
      </c>
      <c r="AS84" s="37">
        <f t="shared" si="14"/>
        <v>0</v>
      </c>
      <c r="AT84" s="37">
        <f t="shared" si="14"/>
        <v>0</v>
      </c>
      <c r="AU84" s="37">
        <f t="shared" si="14"/>
        <v>0</v>
      </c>
      <c r="AV84" s="37">
        <f t="shared" si="14"/>
        <v>0</v>
      </c>
      <c r="AW84" s="37">
        <f t="shared" si="14"/>
        <v>0</v>
      </c>
      <c r="AX84" s="37">
        <f t="shared" si="14"/>
        <v>0</v>
      </c>
      <c r="AY84" s="64">
        <f t="shared" si="13"/>
        <v>0</v>
      </c>
    </row>
    <row r="85" spans="1:51">
      <c r="A85" s="231">
        <v>3353</v>
      </c>
      <c r="B85" s="4">
        <v>103445</v>
      </c>
      <c r="C85" s="4" t="s">
        <v>610</v>
      </c>
      <c r="D85" s="4" t="s">
        <v>611</v>
      </c>
      <c r="E85" s="4" t="s">
        <v>5</v>
      </c>
      <c r="F85" s="232" t="s">
        <v>411</v>
      </c>
      <c r="H85" s="211">
        <v>9017</v>
      </c>
      <c r="I85" s="212">
        <v>0</v>
      </c>
      <c r="J85" s="212">
        <v>24198</v>
      </c>
      <c r="K85" s="211">
        <v>3150</v>
      </c>
      <c r="L85" s="211">
        <v>0</v>
      </c>
      <c r="M85" s="212">
        <v>19973</v>
      </c>
      <c r="N85" s="244">
        <v>1200</v>
      </c>
      <c r="O85" s="212">
        <v>0</v>
      </c>
      <c r="P85" s="212">
        <v>0</v>
      </c>
      <c r="Q85" s="212">
        <v>50773</v>
      </c>
      <c r="R85" s="212">
        <v>44315</v>
      </c>
      <c r="S85" s="212">
        <v>3951.25</v>
      </c>
      <c r="T85" s="212">
        <v>0</v>
      </c>
      <c r="U85" s="212"/>
      <c r="V85" s="212">
        <v>0</v>
      </c>
      <c r="W85" s="212">
        <v>0</v>
      </c>
      <c r="X85" s="212">
        <v>67158</v>
      </c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29">
        <f t="shared" si="11"/>
        <v>223735.25</v>
      </c>
      <c r="AP85" s="37">
        <f t="shared" si="14"/>
        <v>44171</v>
      </c>
      <c r="AQ85" s="37">
        <f t="shared" si="14"/>
        <v>0</v>
      </c>
      <c r="AR85" s="37">
        <f t="shared" si="14"/>
        <v>44315</v>
      </c>
      <c r="AS85" s="37">
        <f t="shared" si="14"/>
        <v>1200</v>
      </c>
      <c r="AT85" s="37">
        <f t="shared" si="14"/>
        <v>0</v>
      </c>
      <c r="AU85" s="37">
        <f t="shared" si="14"/>
        <v>0</v>
      </c>
      <c r="AV85" s="37">
        <f t="shared" si="14"/>
        <v>7101.25</v>
      </c>
      <c r="AW85" s="37">
        <f t="shared" si="14"/>
        <v>126948</v>
      </c>
      <c r="AX85" s="37">
        <f t="shared" si="14"/>
        <v>0</v>
      </c>
      <c r="AY85" s="64">
        <f t="shared" si="13"/>
        <v>0</v>
      </c>
    </row>
    <row r="86" spans="1:51">
      <c r="A86" s="231">
        <v>1002</v>
      </c>
      <c r="B86" s="4">
        <v>103121</v>
      </c>
      <c r="C86" s="4" t="s">
        <v>613</v>
      </c>
      <c r="D86" s="4" t="s">
        <v>614</v>
      </c>
      <c r="E86" s="4" t="s">
        <v>180</v>
      </c>
      <c r="F86" s="232" t="s">
        <v>411</v>
      </c>
      <c r="H86" s="211">
        <v>0</v>
      </c>
      <c r="I86" s="212">
        <v>0</v>
      </c>
      <c r="J86" s="212">
        <v>0</v>
      </c>
      <c r="K86" s="211">
        <v>0</v>
      </c>
      <c r="L86" s="211">
        <v>0</v>
      </c>
      <c r="M86" s="212">
        <v>0</v>
      </c>
      <c r="N86" s="244">
        <v>0</v>
      </c>
      <c r="O86" s="212">
        <v>0</v>
      </c>
      <c r="P86" s="212">
        <v>0</v>
      </c>
      <c r="Q86" s="212">
        <v>0</v>
      </c>
      <c r="R86" s="212">
        <v>0</v>
      </c>
      <c r="S86" s="212">
        <v>0</v>
      </c>
      <c r="T86" s="212">
        <v>0</v>
      </c>
      <c r="U86" s="212"/>
      <c r="V86" s="212">
        <v>0</v>
      </c>
      <c r="W86" s="212">
        <v>0</v>
      </c>
      <c r="X86" s="212">
        <v>0</v>
      </c>
      <c r="Y86" s="212"/>
      <c r="Z86" s="212"/>
      <c r="AA86" s="212"/>
      <c r="AB86" s="212"/>
      <c r="AC86" s="212"/>
      <c r="AD86" s="212"/>
      <c r="AE86" s="212"/>
      <c r="AF86" s="212"/>
      <c r="AG86" s="212"/>
      <c r="AH86" s="212"/>
      <c r="AI86" s="212"/>
      <c r="AJ86" s="212"/>
      <c r="AK86" s="212"/>
      <c r="AL86" s="212"/>
      <c r="AM86" s="212"/>
      <c r="AN86" s="229">
        <f t="shared" si="11"/>
        <v>0</v>
      </c>
      <c r="AP86" s="37">
        <f t="shared" si="14"/>
        <v>0</v>
      </c>
      <c r="AQ86" s="37">
        <f t="shared" si="14"/>
        <v>0</v>
      </c>
      <c r="AR86" s="37">
        <f t="shared" si="14"/>
        <v>0</v>
      </c>
      <c r="AS86" s="37">
        <f t="shared" si="14"/>
        <v>0</v>
      </c>
      <c r="AT86" s="37">
        <f t="shared" si="14"/>
        <v>0</v>
      </c>
      <c r="AU86" s="37">
        <f t="shared" si="14"/>
        <v>0</v>
      </c>
      <c r="AV86" s="37">
        <f t="shared" si="14"/>
        <v>0</v>
      </c>
      <c r="AW86" s="37">
        <f t="shared" si="14"/>
        <v>0</v>
      </c>
      <c r="AX86" s="37">
        <f t="shared" si="14"/>
        <v>0</v>
      </c>
      <c r="AY86" s="64">
        <f t="shared" si="13"/>
        <v>0</v>
      </c>
    </row>
    <row r="87" spans="1:51">
      <c r="A87" s="231">
        <v>1048</v>
      </c>
      <c r="B87" s="4">
        <v>103144</v>
      </c>
      <c r="C87" s="4" t="s">
        <v>616</v>
      </c>
      <c r="D87" s="4" t="s">
        <v>617</v>
      </c>
      <c r="E87" s="4" t="s">
        <v>180</v>
      </c>
      <c r="F87" s="232" t="s">
        <v>411</v>
      </c>
      <c r="H87" s="211">
        <v>0</v>
      </c>
      <c r="I87" s="212">
        <v>0</v>
      </c>
      <c r="J87" s="212">
        <v>0</v>
      </c>
      <c r="K87" s="211">
        <v>0</v>
      </c>
      <c r="L87" s="211">
        <v>0</v>
      </c>
      <c r="M87" s="212">
        <v>0</v>
      </c>
      <c r="N87" s="244">
        <v>0</v>
      </c>
      <c r="O87" s="212">
        <v>0</v>
      </c>
      <c r="P87" s="212">
        <v>0</v>
      </c>
      <c r="Q87" s="212">
        <v>0</v>
      </c>
      <c r="R87" s="212">
        <v>0</v>
      </c>
      <c r="S87" s="212">
        <v>0</v>
      </c>
      <c r="T87" s="212">
        <v>400</v>
      </c>
      <c r="U87" s="212"/>
      <c r="V87" s="212">
        <v>0</v>
      </c>
      <c r="W87" s="212">
        <v>0</v>
      </c>
      <c r="X87" s="212">
        <v>0</v>
      </c>
      <c r="Y87" s="212"/>
      <c r="Z87" s="212"/>
      <c r="AA87" s="212"/>
      <c r="AB87" s="212"/>
      <c r="AC87" s="212"/>
      <c r="AD87" s="212"/>
      <c r="AE87" s="212"/>
      <c r="AF87" s="212"/>
      <c r="AG87" s="212"/>
      <c r="AH87" s="212"/>
      <c r="AI87" s="212"/>
      <c r="AJ87" s="212"/>
      <c r="AK87" s="212"/>
      <c r="AL87" s="212"/>
      <c r="AM87" s="212"/>
      <c r="AN87" s="229">
        <f t="shared" si="11"/>
        <v>400</v>
      </c>
      <c r="AP87" s="37">
        <f t="shared" si="14"/>
        <v>0</v>
      </c>
      <c r="AQ87" s="37">
        <f t="shared" si="14"/>
        <v>0</v>
      </c>
      <c r="AR87" s="37">
        <f t="shared" si="14"/>
        <v>0</v>
      </c>
      <c r="AS87" s="37">
        <f t="shared" si="14"/>
        <v>400</v>
      </c>
      <c r="AT87" s="37">
        <f t="shared" si="14"/>
        <v>0</v>
      </c>
      <c r="AU87" s="37">
        <f t="shared" si="14"/>
        <v>0</v>
      </c>
      <c r="AV87" s="37">
        <f t="shared" si="14"/>
        <v>0</v>
      </c>
      <c r="AW87" s="37">
        <f t="shared" si="14"/>
        <v>0</v>
      </c>
      <c r="AX87" s="37">
        <f t="shared" si="14"/>
        <v>0</v>
      </c>
      <c r="AY87" s="64">
        <f t="shared" si="13"/>
        <v>0</v>
      </c>
    </row>
    <row r="88" spans="1:51">
      <c r="A88" s="231">
        <v>2289</v>
      </c>
      <c r="B88" s="4">
        <v>103315</v>
      </c>
      <c r="C88" s="4" t="s">
        <v>619</v>
      </c>
      <c r="D88" s="4" t="s">
        <v>620</v>
      </c>
      <c r="E88" s="4" t="s">
        <v>5</v>
      </c>
      <c r="F88" s="232" t="s">
        <v>411</v>
      </c>
      <c r="H88" s="211">
        <v>8121</v>
      </c>
      <c r="I88" s="212">
        <v>0</v>
      </c>
      <c r="J88" s="212">
        <v>17511</v>
      </c>
      <c r="K88" s="211">
        <v>3093.75</v>
      </c>
      <c r="L88" s="211">
        <v>0</v>
      </c>
      <c r="M88" s="212">
        <v>14434</v>
      </c>
      <c r="N88" s="244">
        <v>0</v>
      </c>
      <c r="O88" s="212">
        <v>0</v>
      </c>
      <c r="P88" s="212">
        <v>0</v>
      </c>
      <c r="Q88" s="212">
        <v>25617</v>
      </c>
      <c r="R88" s="212">
        <v>49645</v>
      </c>
      <c r="S88" s="212">
        <v>4748.75</v>
      </c>
      <c r="T88" s="212">
        <v>0</v>
      </c>
      <c r="U88" s="212"/>
      <c r="V88" s="212">
        <v>0</v>
      </c>
      <c r="W88" s="212">
        <v>0</v>
      </c>
      <c r="X88" s="212">
        <v>33509</v>
      </c>
      <c r="Y88" s="212"/>
      <c r="Z88" s="212"/>
      <c r="AA88" s="212"/>
      <c r="AB88" s="212"/>
      <c r="AC88" s="212"/>
      <c r="AD88" s="212"/>
      <c r="AE88" s="212"/>
      <c r="AF88" s="212"/>
      <c r="AG88" s="212"/>
      <c r="AH88" s="212"/>
      <c r="AI88" s="212"/>
      <c r="AJ88" s="212"/>
      <c r="AK88" s="212"/>
      <c r="AL88" s="212"/>
      <c r="AM88" s="212"/>
      <c r="AN88" s="229">
        <f t="shared" si="11"/>
        <v>156679.5</v>
      </c>
      <c r="AP88" s="37">
        <f t="shared" si="14"/>
        <v>31945</v>
      </c>
      <c r="AQ88" s="37">
        <f t="shared" si="14"/>
        <v>0</v>
      </c>
      <c r="AR88" s="37">
        <f t="shared" si="14"/>
        <v>49645</v>
      </c>
      <c r="AS88" s="37">
        <f t="shared" si="14"/>
        <v>0</v>
      </c>
      <c r="AT88" s="37">
        <f t="shared" si="14"/>
        <v>0</v>
      </c>
      <c r="AU88" s="37">
        <f t="shared" si="14"/>
        <v>0</v>
      </c>
      <c r="AV88" s="37">
        <f t="shared" si="14"/>
        <v>7842.5</v>
      </c>
      <c r="AW88" s="37">
        <f t="shared" si="14"/>
        <v>67247</v>
      </c>
      <c r="AX88" s="37">
        <f t="shared" si="14"/>
        <v>0</v>
      </c>
      <c r="AY88" s="64">
        <f t="shared" si="13"/>
        <v>0</v>
      </c>
    </row>
    <row r="89" spans="1:51">
      <c r="A89" s="231">
        <v>3320</v>
      </c>
      <c r="B89" s="4">
        <v>103424</v>
      </c>
      <c r="C89" s="4" t="s">
        <v>622</v>
      </c>
      <c r="D89" s="4" t="s">
        <v>623</v>
      </c>
      <c r="E89" s="4" t="s">
        <v>5</v>
      </c>
      <c r="F89" s="232" t="s">
        <v>411</v>
      </c>
      <c r="H89" s="211">
        <v>8129</v>
      </c>
      <c r="I89" s="212">
        <v>0</v>
      </c>
      <c r="J89" s="212">
        <v>20557</v>
      </c>
      <c r="K89" s="211">
        <v>5681.25</v>
      </c>
      <c r="L89" s="211">
        <v>0</v>
      </c>
      <c r="M89" s="212">
        <v>16920</v>
      </c>
      <c r="N89" s="244">
        <v>0</v>
      </c>
      <c r="O89" s="212">
        <v>0</v>
      </c>
      <c r="P89" s="212">
        <v>0</v>
      </c>
      <c r="Q89" s="212">
        <v>15342</v>
      </c>
      <c r="R89" s="212">
        <v>88040</v>
      </c>
      <c r="S89" s="212">
        <v>8570.75</v>
      </c>
      <c r="T89" s="212">
        <v>600</v>
      </c>
      <c r="U89" s="212"/>
      <c r="V89" s="212">
        <v>0</v>
      </c>
      <c r="W89" s="212">
        <v>0</v>
      </c>
      <c r="X89" s="212">
        <v>21873</v>
      </c>
      <c r="Y89" s="212"/>
      <c r="Z89" s="212"/>
      <c r="AA89" s="212"/>
      <c r="AB89" s="212"/>
      <c r="AC89" s="212"/>
      <c r="AD89" s="212"/>
      <c r="AE89" s="212"/>
      <c r="AF89" s="212"/>
      <c r="AG89" s="212"/>
      <c r="AH89" s="212"/>
      <c r="AI89" s="212"/>
      <c r="AJ89" s="212"/>
      <c r="AK89" s="212"/>
      <c r="AL89" s="212"/>
      <c r="AM89" s="212"/>
      <c r="AN89" s="229">
        <f t="shared" si="11"/>
        <v>185713</v>
      </c>
      <c r="AP89" s="37">
        <f t="shared" si="14"/>
        <v>37477</v>
      </c>
      <c r="AQ89" s="37">
        <f t="shared" si="14"/>
        <v>0</v>
      </c>
      <c r="AR89" s="37">
        <f t="shared" si="14"/>
        <v>88040</v>
      </c>
      <c r="AS89" s="37">
        <f t="shared" si="14"/>
        <v>600</v>
      </c>
      <c r="AT89" s="37">
        <f t="shared" si="14"/>
        <v>0</v>
      </c>
      <c r="AU89" s="37">
        <f t="shared" si="14"/>
        <v>0</v>
      </c>
      <c r="AV89" s="37">
        <f t="shared" si="14"/>
        <v>14252</v>
      </c>
      <c r="AW89" s="37">
        <f t="shared" si="14"/>
        <v>45344</v>
      </c>
      <c r="AX89" s="37">
        <f t="shared" si="14"/>
        <v>0</v>
      </c>
      <c r="AY89" s="64">
        <f t="shared" si="13"/>
        <v>0</v>
      </c>
    </row>
    <row r="90" spans="1:51">
      <c r="A90" s="231">
        <v>2191</v>
      </c>
      <c r="B90" s="4">
        <v>103267</v>
      </c>
      <c r="C90" s="4" t="s">
        <v>625</v>
      </c>
      <c r="D90" s="4" t="s">
        <v>626</v>
      </c>
      <c r="E90" s="4" t="s">
        <v>5</v>
      </c>
      <c r="F90" s="232" t="s">
        <v>411</v>
      </c>
      <c r="H90" s="211">
        <v>7425</v>
      </c>
      <c r="I90" s="212">
        <v>0</v>
      </c>
      <c r="J90" s="212">
        <v>11176</v>
      </c>
      <c r="K90" s="211">
        <v>3346.88</v>
      </c>
      <c r="L90" s="211">
        <v>0</v>
      </c>
      <c r="M90" s="212">
        <v>9197</v>
      </c>
      <c r="N90" s="244">
        <v>0</v>
      </c>
      <c r="O90" s="212">
        <v>0</v>
      </c>
      <c r="P90" s="212">
        <v>0</v>
      </c>
      <c r="Q90" s="212">
        <v>8372</v>
      </c>
      <c r="R90" s="212">
        <v>50202</v>
      </c>
      <c r="S90" s="212">
        <v>4785</v>
      </c>
      <c r="T90" s="212">
        <v>400</v>
      </c>
      <c r="U90" s="212"/>
      <c r="V90" s="212">
        <v>0</v>
      </c>
      <c r="W90" s="212">
        <v>3598</v>
      </c>
      <c r="X90" s="212">
        <v>10937</v>
      </c>
      <c r="Y90" s="212"/>
      <c r="Z90" s="212"/>
      <c r="AA90" s="212"/>
      <c r="AB90" s="212"/>
      <c r="AC90" s="212"/>
      <c r="AD90" s="212"/>
      <c r="AE90" s="212"/>
      <c r="AF90" s="212"/>
      <c r="AG90" s="212"/>
      <c r="AH90" s="212"/>
      <c r="AI90" s="212"/>
      <c r="AJ90" s="212"/>
      <c r="AK90" s="212"/>
      <c r="AL90" s="212"/>
      <c r="AM90" s="212"/>
      <c r="AN90" s="229">
        <f t="shared" si="11"/>
        <v>109438.88</v>
      </c>
      <c r="AP90" s="37">
        <f t="shared" si="14"/>
        <v>23971</v>
      </c>
      <c r="AQ90" s="37">
        <f t="shared" si="14"/>
        <v>0</v>
      </c>
      <c r="AR90" s="37">
        <f t="shared" si="14"/>
        <v>50202</v>
      </c>
      <c r="AS90" s="37">
        <f t="shared" si="14"/>
        <v>400</v>
      </c>
      <c r="AT90" s="37">
        <f t="shared" si="14"/>
        <v>0</v>
      </c>
      <c r="AU90" s="37">
        <f t="shared" si="14"/>
        <v>0</v>
      </c>
      <c r="AV90" s="37">
        <f t="shared" si="14"/>
        <v>8131.88</v>
      </c>
      <c r="AW90" s="37">
        <f t="shared" si="14"/>
        <v>26734</v>
      </c>
      <c r="AX90" s="37">
        <f t="shared" si="14"/>
        <v>0</v>
      </c>
      <c r="AY90" s="64">
        <f t="shared" si="13"/>
        <v>0</v>
      </c>
    </row>
    <row r="91" spans="1:51">
      <c r="A91" s="231">
        <v>2284</v>
      </c>
      <c r="B91" s="4">
        <v>103313</v>
      </c>
      <c r="C91" s="4" t="s">
        <v>628</v>
      </c>
      <c r="D91" s="4" t="s">
        <v>629</v>
      </c>
      <c r="E91" s="4" t="s">
        <v>5</v>
      </c>
      <c r="F91" s="232" t="s">
        <v>411</v>
      </c>
      <c r="H91" s="211">
        <v>7417</v>
      </c>
      <c r="I91" s="212">
        <v>0</v>
      </c>
      <c r="J91" s="212">
        <v>10689</v>
      </c>
      <c r="K91" s="211">
        <v>2671.88</v>
      </c>
      <c r="L91" s="211">
        <v>1200</v>
      </c>
      <c r="M91" s="212">
        <v>8798</v>
      </c>
      <c r="N91" s="244">
        <v>0</v>
      </c>
      <c r="O91" s="212">
        <v>0</v>
      </c>
      <c r="P91" s="212">
        <v>0</v>
      </c>
      <c r="Q91" s="212">
        <v>3144</v>
      </c>
      <c r="R91" s="212">
        <v>17883</v>
      </c>
      <c r="S91" s="212">
        <v>0</v>
      </c>
      <c r="T91" s="212">
        <v>0</v>
      </c>
      <c r="U91" s="212"/>
      <c r="V91" s="212">
        <v>0</v>
      </c>
      <c r="W91" s="212">
        <v>0</v>
      </c>
      <c r="X91" s="212">
        <v>8133</v>
      </c>
      <c r="Y91" s="212"/>
      <c r="Z91" s="212"/>
      <c r="AA91" s="212"/>
      <c r="AB91" s="212"/>
      <c r="AC91" s="212"/>
      <c r="AD91" s="212"/>
      <c r="AE91" s="212"/>
      <c r="AF91" s="212"/>
      <c r="AG91" s="212"/>
      <c r="AH91" s="212"/>
      <c r="AI91" s="212"/>
      <c r="AJ91" s="212"/>
      <c r="AK91" s="212"/>
      <c r="AL91" s="212"/>
      <c r="AM91" s="212"/>
      <c r="AN91" s="229">
        <f t="shared" si="11"/>
        <v>59935.880000000005</v>
      </c>
      <c r="AP91" s="37">
        <f t="shared" si="14"/>
        <v>19487</v>
      </c>
      <c r="AQ91" s="37">
        <f t="shared" si="14"/>
        <v>0</v>
      </c>
      <c r="AR91" s="37">
        <f t="shared" si="14"/>
        <v>17883</v>
      </c>
      <c r="AS91" s="37">
        <f t="shared" si="14"/>
        <v>1200</v>
      </c>
      <c r="AT91" s="37">
        <f t="shared" si="14"/>
        <v>0</v>
      </c>
      <c r="AU91" s="37">
        <f t="shared" si="14"/>
        <v>0</v>
      </c>
      <c r="AV91" s="37">
        <f t="shared" si="14"/>
        <v>2671.88</v>
      </c>
      <c r="AW91" s="37">
        <f t="shared" si="14"/>
        <v>18694</v>
      </c>
      <c r="AX91" s="37">
        <f t="shared" si="14"/>
        <v>0</v>
      </c>
      <c r="AY91" s="64">
        <f t="shared" si="13"/>
        <v>0</v>
      </c>
    </row>
    <row r="92" spans="1:51">
      <c r="A92" s="231">
        <v>1026</v>
      </c>
      <c r="B92" s="4">
        <v>103139</v>
      </c>
      <c r="C92" s="4" t="s">
        <v>631</v>
      </c>
      <c r="D92" s="4" t="s">
        <v>632</v>
      </c>
      <c r="E92" s="4" t="s">
        <v>180</v>
      </c>
      <c r="F92" s="232" t="s">
        <v>411</v>
      </c>
      <c r="H92" s="211">
        <v>0</v>
      </c>
      <c r="I92" s="212">
        <v>0</v>
      </c>
      <c r="J92" s="212">
        <v>0</v>
      </c>
      <c r="K92" s="211">
        <v>0</v>
      </c>
      <c r="L92" s="211">
        <v>0</v>
      </c>
      <c r="M92" s="212">
        <v>0</v>
      </c>
      <c r="N92" s="244">
        <v>0</v>
      </c>
      <c r="O92" s="212">
        <v>0</v>
      </c>
      <c r="P92" s="212">
        <v>0</v>
      </c>
      <c r="Q92" s="212">
        <v>0</v>
      </c>
      <c r="R92" s="212">
        <v>0</v>
      </c>
      <c r="S92" s="212">
        <v>0</v>
      </c>
      <c r="T92" s="212">
        <v>0</v>
      </c>
      <c r="U92" s="212"/>
      <c r="V92" s="212">
        <v>0</v>
      </c>
      <c r="W92" s="212">
        <v>0</v>
      </c>
      <c r="X92" s="212">
        <v>0</v>
      </c>
      <c r="Y92" s="212"/>
      <c r="Z92" s="212"/>
      <c r="AA92" s="212"/>
      <c r="AB92" s="212"/>
      <c r="AC92" s="212"/>
      <c r="AD92" s="212"/>
      <c r="AE92" s="212"/>
      <c r="AF92" s="212"/>
      <c r="AG92" s="212"/>
      <c r="AH92" s="212"/>
      <c r="AI92" s="212"/>
      <c r="AJ92" s="212"/>
      <c r="AK92" s="212"/>
      <c r="AL92" s="212"/>
      <c r="AM92" s="212"/>
      <c r="AN92" s="229">
        <f t="shared" si="11"/>
        <v>0</v>
      </c>
      <c r="AP92" s="37">
        <f t="shared" ref="AP92:AX101" si="15">SUMIF($H$3:$AM$3,AP$6,$H92:$AM92)</f>
        <v>0</v>
      </c>
      <c r="AQ92" s="37">
        <f t="shared" si="15"/>
        <v>0</v>
      </c>
      <c r="AR92" s="37">
        <f t="shared" si="15"/>
        <v>0</v>
      </c>
      <c r="AS92" s="37">
        <f t="shared" si="15"/>
        <v>0</v>
      </c>
      <c r="AT92" s="37">
        <f t="shared" si="15"/>
        <v>0</v>
      </c>
      <c r="AU92" s="37">
        <f t="shared" si="15"/>
        <v>0</v>
      </c>
      <c r="AV92" s="37">
        <f t="shared" si="15"/>
        <v>0</v>
      </c>
      <c r="AW92" s="37">
        <f t="shared" si="15"/>
        <v>0</v>
      </c>
      <c r="AX92" s="37">
        <f t="shared" si="15"/>
        <v>0</v>
      </c>
      <c r="AY92" s="64">
        <f t="shared" si="13"/>
        <v>0</v>
      </c>
    </row>
    <row r="93" spans="1:51">
      <c r="A93" s="231">
        <v>2294</v>
      </c>
      <c r="B93" s="4">
        <v>103318</v>
      </c>
      <c r="C93" s="4" t="s">
        <v>634</v>
      </c>
      <c r="D93" s="4" t="s">
        <v>635</v>
      </c>
      <c r="E93" s="4" t="s">
        <v>5</v>
      </c>
      <c r="F93" s="232" t="s">
        <v>411</v>
      </c>
      <c r="H93" s="211">
        <v>8154</v>
      </c>
      <c r="I93" s="212">
        <v>0</v>
      </c>
      <c r="J93" s="212">
        <v>19505</v>
      </c>
      <c r="K93" s="211">
        <v>4753.13</v>
      </c>
      <c r="L93" s="211">
        <v>0</v>
      </c>
      <c r="M93" s="212">
        <v>16064</v>
      </c>
      <c r="N93" s="244">
        <v>0</v>
      </c>
      <c r="O93" s="212">
        <v>0</v>
      </c>
      <c r="P93" s="212">
        <v>0</v>
      </c>
      <c r="Q93" s="212">
        <v>19468</v>
      </c>
      <c r="R93" s="212">
        <v>70300</v>
      </c>
      <c r="S93" s="212">
        <v>6887.5</v>
      </c>
      <c r="T93" s="212">
        <v>0</v>
      </c>
      <c r="U93" s="212"/>
      <c r="V93" s="212">
        <v>0</v>
      </c>
      <c r="W93" s="212">
        <v>0</v>
      </c>
      <c r="X93" s="212">
        <v>27060</v>
      </c>
      <c r="Y93" s="212"/>
      <c r="Z93" s="212"/>
      <c r="AA93" s="212"/>
      <c r="AB93" s="212"/>
      <c r="AC93" s="212"/>
      <c r="AD93" s="212"/>
      <c r="AE93" s="212"/>
      <c r="AF93" s="212"/>
      <c r="AG93" s="212"/>
      <c r="AH93" s="212"/>
      <c r="AI93" s="212"/>
      <c r="AJ93" s="212"/>
      <c r="AK93" s="212"/>
      <c r="AL93" s="212"/>
      <c r="AM93" s="212"/>
      <c r="AN93" s="229">
        <f t="shared" si="11"/>
        <v>172191.63</v>
      </c>
      <c r="AP93" s="37">
        <f t="shared" si="15"/>
        <v>35569</v>
      </c>
      <c r="AQ93" s="37">
        <f t="shared" si="15"/>
        <v>0</v>
      </c>
      <c r="AR93" s="37">
        <f t="shared" si="15"/>
        <v>70300</v>
      </c>
      <c r="AS93" s="37">
        <f t="shared" si="15"/>
        <v>0</v>
      </c>
      <c r="AT93" s="37">
        <f t="shared" si="15"/>
        <v>0</v>
      </c>
      <c r="AU93" s="37">
        <f t="shared" si="15"/>
        <v>0</v>
      </c>
      <c r="AV93" s="37">
        <f t="shared" si="15"/>
        <v>11640.630000000001</v>
      </c>
      <c r="AW93" s="37">
        <f t="shared" si="15"/>
        <v>54682</v>
      </c>
      <c r="AX93" s="37">
        <f t="shared" si="15"/>
        <v>0</v>
      </c>
      <c r="AY93" s="64">
        <f t="shared" si="13"/>
        <v>0</v>
      </c>
    </row>
    <row r="94" spans="1:51">
      <c r="A94" s="231">
        <v>1006</v>
      </c>
      <c r="B94" s="4">
        <v>103122</v>
      </c>
      <c r="C94" s="4" t="s">
        <v>637</v>
      </c>
      <c r="D94" s="4" t="s">
        <v>638</v>
      </c>
      <c r="E94" s="4" t="s">
        <v>180</v>
      </c>
      <c r="F94" s="232" t="s">
        <v>411</v>
      </c>
      <c r="H94" s="211">
        <v>0</v>
      </c>
      <c r="I94" s="212">
        <v>0</v>
      </c>
      <c r="J94" s="212">
        <v>0</v>
      </c>
      <c r="K94" s="211">
        <v>0</v>
      </c>
      <c r="L94" s="211">
        <v>0</v>
      </c>
      <c r="M94" s="212">
        <v>0</v>
      </c>
      <c r="N94" s="244">
        <v>0</v>
      </c>
      <c r="O94" s="212">
        <v>0</v>
      </c>
      <c r="P94" s="212">
        <v>0</v>
      </c>
      <c r="Q94" s="212">
        <v>0</v>
      </c>
      <c r="R94" s="212">
        <v>0</v>
      </c>
      <c r="S94" s="212">
        <v>0</v>
      </c>
      <c r="T94" s="212">
        <v>0</v>
      </c>
      <c r="U94" s="212"/>
      <c r="V94" s="212">
        <v>0</v>
      </c>
      <c r="W94" s="212">
        <v>0</v>
      </c>
      <c r="X94" s="212">
        <v>0</v>
      </c>
      <c r="Y94" s="212"/>
      <c r="Z94" s="212"/>
      <c r="AA94" s="212"/>
      <c r="AB94" s="212"/>
      <c r="AC94" s="212"/>
      <c r="AD94" s="212"/>
      <c r="AE94" s="212"/>
      <c r="AF94" s="212"/>
      <c r="AG94" s="212"/>
      <c r="AH94" s="212"/>
      <c r="AI94" s="212"/>
      <c r="AJ94" s="212"/>
      <c r="AK94" s="212"/>
      <c r="AL94" s="212"/>
      <c r="AM94" s="212"/>
      <c r="AN94" s="229">
        <f t="shared" si="11"/>
        <v>0</v>
      </c>
      <c r="AP94" s="37">
        <f t="shared" si="15"/>
        <v>0</v>
      </c>
      <c r="AQ94" s="37">
        <f t="shared" si="15"/>
        <v>0</v>
      </c>
      <c r="AR94" s="37">
        <f t="shared" si="15"/>
        <v>0</v>
      </c>
      <c r="AS94" s="37">
        <f t="shared" si="15"/>
        <v>0</v>
      </c>
      <c r="AT94" s="37">
        <f t="shared" si="15"/>
        <v>0</v>
      </c>
      <c r="AU94" s="37">
        <f t="shared" si="15"/>
        <v>0</v>
      </c>
      <c r="AV94" s="37">
        <f t="shared" si="15"/>
        <v>0</v>
      </c>
      <c r="AW94" s="37">
        <f t="shared" si="15"/>
        <v>0</v>
      </c>
      <c r="AX94" s="37">
        <f t="shared" si="15"/>
        <v>0</v>
      </c>
      <c r="AY94" s="64">
        <f t="shared" si="13"/>
        <v>0</v>
      </c>
    </row>
    <row r="95" spans="1:51">
      <c r="A95" s="231">
        <v>2079</v>
      </c>
      <c r="B95" s="4">
        <v>103200</v>
      </c>
      <c r="C95" s="4" t="s">
        <v>640</v>
      </c>
      <c r="D95" s="4" t="s">
        <v>641</v>
      </c>
      <c r="E95" s="4" t="s">
        <v>5</v>
      </c>
      <c r="F95" s="232" t="s">
        <v>411</v>
      </c>
      <c r="H95" s="211">
        <v>8037</v>
      </c>
      <c r="I95" s="212">
        <v>0</v>
      </c>
      <c r="J95" s="212">
        <v>16687</v>
      </c>
      <c r="K95" s="211">
        <v>4893.75</v>
      </c>
      <c r="L95" s="211">
        <v>0</v>
      </c>
      <c r="M95" s="212">
        <v>13739</v>
      </c>
      <c r="N95" s="244">
        <v>0</v>
      </c>
      <c r="O95" s="212">
        <v>0</v>
      </c>
      <c r="P95" s="212">
        <v>0</v>
      </c>
      <c r="Q95" s="212">
        <v>12958</v>
      </c>
      <c r="R95" s="212">
        <v>64380</v>
      </c>
      <c r="S95" s="212">
        <v>6307.5</v>
      </c>
      <c r="T95" s="212">
        <v>200</v>
      </c>
      <c r="U95" s="212"/>
      <c r="V95" s="212">
        <v>0</v>
      </c>
      <c r="W95" s="212">
        <v>0</v>
      </c>
      <c r="X95" s="212">
        <v>17947</v>
      </c>
      <c r="Y95" s="212"/>
      <c r="Z95" s="212"/>
      <c r="AA95" s="212"/>
      <c r="AB95" s="212"/>
      <c r="AC95" s="212"/>
      <c r="AD95" s="212"/>
      <c r="AE95" s="212"/>
      <c r="AF95" s="212"/>
      <c r="AG95" s="212"/>
      <c r="AH95" s="212"/>
      <c r="AI95" s="212"/>
      <c r="AJ95" s="212"/>
      <c r="AK95" s="212"/>
      <c r="AL95" s="212"/>
      <c r="AM95" s="212"/>
      <c r="AN95" s="229">
        <f t="shared" si="11"/>
        <v>145149.25</v>
      </c>
      <c r="AP95" s="37">
        <f t="shared" si="15"/>
        <v>30426</v>
      </c>
      <c r="AQ95" s="37">
        <f t="shared" si="15"/>
        <v>0</v>
      </c>
      <c r="AR95" s="37">
        <f t="shared" si="15"/>
        <v>64380</v>
      </c>
      <c r="AS95" s="37">
        <f t="shared" si="15"/>
        <v>200</v>
      </c>
      <c r="AT95" s="37">
        <f t="shared" si="15"/>
        <v>0</v>
      </c>
      <c r="AU95" s="37">
        <f t="shared" si="15"/>
        <v>0</v>
      </c>
      <c r="AV95" s="37">
        <f t="shared" si="15"/>
        <v>11201.25</v>
      </c>
      <c r="AW95" s="37">
        <f t="shared" si="15"/>
        <v>38942</v>
      </c>
      <c r="AX95" s="37">
        <f t="shared" si="15"/>
        <v>0</v>
      </c>
      <c r="AY95" s="64">
        <f t="shared" si="13"/>
        <v>0</v>
      </c>
    </row>
    <row r="96" spans="1:51">
      <c r="A96" s="231">
        <v>1015</v>
      </c>
      <c r="B96" s="4">
        <v>103128</v>
      </c>
      <c r="C96" s="4" t="s">
        <v>643</v>
      </c>
      <c r="D96" s="4" t="s">
        <v>644</v>
      </c>
      <c r="E96" s="4" t="s">
        <v>180</v>
      </c>
      <c r="F96" s="232" t="s">
        <v>411</v>
      </c>
      <c r="H96" s="211">
        <v>0</v>
      </c>
      <c r="I96" s="212">
        <v>0</v>
      </c>
      <c r="J96" s="212">
        <v>0</v>
      </c>
      <c r="K96" s="211">
        <v>0</v>
      </c>
      <c r="L96" s="211">
        <v>0</v>
      </c>
      <c r="M96" s="212">
        <v>0</v>
      </c>
      <c r="N96" s="244">
        <v>0</v>
      </c>
      <c r="O96" s="212">
        <v>0</v>
      </c>
      <c r="P96" s="212">
        <v>0</v>
      </c>
      <c r="Q96" s="212">
        <v>0</v>
      </c>
      <c r="R96" s="212">
        <v>0</v>
      </c>
      <c r="S96" s="212">
        <v>0</v>
      </c>
      <c r="T96" s="212">
        <v>0</v>
      </c>
      <c r="U96" s="212"/>
      <c r="V96" s="212">
        <v>0</v>
      </c>
      <c r="W96" s="212">
        <v>0</v>
      </c>
      <c r="X96" s="212">
        <v>0</v>
      </c>
      <c r="Y96" s="212"/>
      <c r="Z96" s="212"/>
      <c r="AA96" s="212"/>
      <c r="AB96" s="212"/>
      <c r="AC96" s="212"/>
      <c r="AD96" s="212"/>
      <c r="AE96" s="212"/>
      <c r="AF96" s="212"/>
      <c r="AG96" s="212"/>
      <c r="AH96" s="212"/>
      <c r="AI96" s="212"/>
      <c r="AJ96" s="212"/>
      <c r="AK96" s="212"/>
      <c r="AL96" s="212"/>
      <c r="AM96" s="212"/>
      <c r="AN96" s="229">
        <f t="shared" si="11"/>
        <v>0</v>
      </c>
      <c r="AP96" s="37">
        <f t="shared" si="15"/>
        <v>0</v>
      </c>
      <c r="AQ96" s="37">
        <f t="shared" si="15"/>
        <v>0</v>
      </c>
      <c r="AR96" s="37">
        <f t="shared" si="15"/>
        <v>0</v>
      </c>
      <c r="AS96" s="37">
        <f t="shared" si="15"/>
        <v>0</v>
      </c>
      <c r="AT96" s="37">
        <f t="shared" si="15"/>
        <v>0</v>
      </c>
      <c r="AU96" s="37">
        <f t="shared" si="15"/>
        <v>0</v>
      </c>
      <c r="AV96" s="37">
        <f t="shared" si="15"/>
        <v>0</v>
      </c>
      <c r="AW96" s="37">
        <f t="shared" si="15"/>
        <v>0</v>
      </c>
      <c r="AX96" s="37">
        <f t="shared" si="15"/>
        <v>0</v>
      </c>
      <c r="AY96" s="64">
        <f t="shared" si="13"/>
        <v>0</v>
      </c>
    </row>
    <row r="97" spans="1:51">
      <c r="A97" s="231">
        <v>1022</v>
      </c>
      <c r="B97" s="4">
        <v>103135</v>
      </c>
      <c r="C97" s="4" t="s">
        <v>646</v>
      </c>
      <c r="D97" s="4" t="s">
        <v>647</v>
      </c>
      <c r="E97" s="4" t="s">
        <v>180</v>
      </c>
      <c r="F97" s="232" t="s">
        <v>411</v>
      </c>
      <c r="H97" s="211">
        <v>0</v>
      </c>
      <c r="I97" s="212">
        <v>0</v>
      </c>
      <c r="J97" s="212">
        <v>0</v>
      </c>
      <c r="K97" s="211">
        <v>0</v>
      </c>
      <c r="L97" s="211">
        <v>0</v>
      </c>
      <c r="M97" s="212">
        <v>0</v>
      </c>
      <c r="N97" s="244">
        <v>0</v>
      </c>
      <c r="O97" s="212">
        <v>0</v>
      </c>
      <c r="P97" s="212">
        <v>0</v>
      </c>
      <c r="Q97" s="212">
        <v>0</v>
      </c>
      <c r="R97" s="212">
        <v>0</v>
      </c>
      <c r="S97" s="212">
        <v>0</v>
      </c>
      <c r="T97" s="212">
        <v>0</v>
      </c>
      <c r="U97" s="212"/>
      <c r="V97" s="212">
        <v>0</v>
      </c>
      <c r="W97" s="212">
        <v>0</v>
      </c>
      <c r="X97" s="212">
        <v>0</v>
      </c>
      <c r="Y97" s="212"/>
      <c r="Z97" s="212"/>
      <c r="AA97" s="212"/>
      <c r="AB97" s="212"/>
      <c r="AC97" s="212"/>
      <c r="AD97" s="212"/>
      <c r="AE97" s="212"/>
      <c r="AF97" s="212"/>
      <c r="AG97" s="212"/>
      <c r="AH97" s="212"/>
      <c r="AI97" s="212"/>
      <c r="AJ97" s="212"/>
      <c r="AK97" s="212"/>
      <c r="AL97" s="212"/>
      <c r="AM97" s="212"/>
      <c r="AN97" s="229">
        <f t="shared" si="11"/>
        <v>0</v>
      </c>
      <c r="AP97" s="37">
        <f t="shared" si="15"/>
        <v>0</v>
      </c>
      <c r="AQ97" s="37">
        <f t="shared" si="15"/>
        <v>0</v>
      </c>
      <c r="AR97" s="37">
        <f t="shared" si="15"/>
        <v>0</v>
      </c>
      <c r="AS97" s="37">
        <f t="shared" si="15"/>
        <v>0</v>
      </c>
      <c r="AT97" s="37">
        <f t="shared" si="15"/>
        <v>0</v>
      </c>
      <c r="AU97" s="37">
        <f t="shared" si="15"/>
        <v>0</v>
      </c>
      <c r="AV97" s="37">
        <f t="shared" si="15"/>
        <v>0</v>
      </c>
      <c r="AW97" s="37">
        <f t="shared" si="15"/>
        <v>0</v>
      </c>
      <c r="AX97" s="37">
        <f t="shared" si="15"/>
        <v>0</v>
      </c>
      <c r="AY97" s="64">
        <f t="shared" si="13"/>
        <v>0</v>
      </c>
    </row>
    <row r="98" spans="1:51">
      <c r="A98" s="231">
        <v>2087</v>
      </c>
      <c r="B98" s="4">
        <v>103205</v>
      </c>
      <c r="C98" s="4" t="s">
        <v>649</v>
      </c>
      <c r="D98" s="4" t="s">
        <v>650</v>
      </c>
      <c r="E98" s="4" t="s">
        <v>5</v>
      </c>
      <c r="F98" s="232" t="s">
        <v>411</v>
      </c>
      <c r="H98" s="211">
        <v>8000</v>
      </c>
      <c r="I98" s="212">
        <v>0</v>
      </c>
      <c r="J98" s="212">
        <v>17628</v>
      </c>
      <c r="K98" s="211">
        <v>4781.25</v>
      </c>
      <c r="L98" s="211">
        <v>0</v>
      </c>
      <c r="M98" s="212">
        <v>14512</v>
      </c>
      <c r="N98" s="244">
        <v>0</v>
      </c>
      <c r="O98" s="212">
        <v>0</v>
      </c>
      <c r="P98" s="212">
        <v>0</v>
      </c>
      <c r="Q98" s="212">
        <v>6929</v>
      </c>
      <c r="R98" s="212">
        <v>69930</v>
      </c>
      <c r="S98" s="212">
        <v>6851.25</v>
      </c>
      <c r="T98" s="212">
        <v>200</v>
      </c>
      <c r="U98" s="212"/>
      <c r="V98" s="212">
        <v>0</v>
      </c>
      <c r="W98" s="212">
        <v>0</v>
      </c>
      <c r="X98" s="212">
        <v>17947</v>
      </c>
      <c r="Y98" s="212"/>
      <c r="Z98" s="212"/>
      <c r="AA98" s="212"/>
      <c r="AB98" s="212"/>
      <c r="AC98" s="212"/>
      <c r="AD98" s="212"/>
      <c r="AE98" s="212"/>
      <c r="AF98" s="212"/>
      <c r="AG98" s="212"/>
      <c r="AH98" s="212"/>
      <c r="AI98" s="212"/>
      <c r="AJ98" s="212"/>
      <c r="AK98" s="212"/>
      <c r="AL98" s="212"/>
      <c r="AM98" s="212"/>
      <c r="AN98" s="229">
        <f t="shared" si="11"/>
        <v>146778.5</v>
      </c>
      <c r="AP98" s="37">
        <f t="shared" si="15"/>
        <v>32140</v>
      </c>
      <c r="AQ98" s="37">
        <f t="shared" si="15"/>
        <v>0</v>
      </c>
      <c r="AR98" s="37">
        <f t="shared" si="15"/>
        <v>69930</v>
      </c>
      <c r="AS98" s="37">
        <f t="shared" si="15"/>
        <v>200</v>
      </c>
      <c r="AT98" s="37">
        <f t="shared" si="15"/>
        <v>0</v>
      </c>
      <c r="AU98" s="37">
        <f t="shared" si="15"/>
        <v>0</v>
      </c>
      <c r="AV98" s="37">
        <f t="shared" si="15"/>
        <v>11632.5</v>
      </c>
      <c r="AW98" s="37">
        <f t="shared" si="15"/>
        <v>32876</v>
      </c>
      <c r="AX98" s="37">
        <f t="shared" si="15"/>
        <v>0</v>
      </c>
      <c r="AY98" s="64">
        <f t="shared" si="13"/>
        <v>0</v>
      </c>
    </row>
    <row r="99" spans="1:51">
      <c r="A99" s="231">
        <v>2466</v>
      </c>
      <c r="B99" s="4">
        <v>103392</v>
      </c>
      <c r="C99" s="4" t="s">
        <v>652</v>
      </c>
      <c r="D99" s="4" t="s">
        <v>653</v>
      </c>
      <c r="E99" s="4" t="s">
        <v>5</v>
      </c>
      <c r="F99" s="232" t="s">
        <v>411</v>
      </c>
      <c r="H99" s="211">
        <v>8862</v>
      </c>
      <c r="I99" s="212">
        <v>0</v>
      </c>
      <c r="J99" s="212">
        <v>27596</v>
      </c>
      <c r="K99" s="211">
        <v>6496.88</v>
      </c>
      <c r="L99" s="211">
        <v>0</v>
      </c>
      <c r="M99" s="212">
        <v>22725</v>
      </c>
      <c r="N99" s="244">
        <v>0</v>
      </c>
      <c r="O99" s="212">
        <v>0</v>
      </c>
      <c r="P99" s="212">
        <v>0</v>
      </c>
      <c r="Q99" s="212">
        <v>26198</v>
      </c>
      <c r="R99" s="212">
        <v>103600</v>
      </c>
      <c r="S99" s="212">
        <v>10150</v>
      </c>
      <c r="T99" s="212">
        <v>0</v>
      </c>
      <c r="U99" s="212"/>
      <c r="V99" s="212">
        <v>0</v>
      </c>
      <c r="W99" s="212">
        <v>7196</v>
      </c>
      <c r="X99" s="212">
        <v>36875</v>
      </c>
      <c r="Y99" s="212"/>
      <c r="Z99" s="212"/>
      <c r="AA99" s="212"/>
      <c r="AB99" s="212"/>
      <c r="AC99" s="212"/>
      <c r="AD99" s="212"/>
      <c r="AE99" s="212"/>
      <c r="AF99" s="212"/>
      <c r="AG99" s="212"/>
      <c r="AH99" s="212"/>
      <c r="AI99" s="212"/>
      <c r="AJ99" s="212"/>
      <c r="AK99" s="212"/>
      <c r="AL99" s="212"/>
      <c r="AM99" s="212"/>
      <c r="AN99" s="229">
        <f t="shared" si="11"/>
        <v>249698.88</v>
      </c>
      <c r="AP99" s="37">
        <f t="shared" si="15"/>
        <v>57517</v>
      </c>
      <c r="AQ99" s="37">
        <f t="shared" si="15"/>
        <v>0</v>
      </c>
      <c r="AR99" s="37">
        <f t="shared" si="15"/>
        <v>103600</v>
      </c>
      <c r="AS99" s="37">
        <f t="shared" si="15"/>
        <v>0</v>
      </c>
      <c r="AT99" s="37">
        <f t="shared" si="15"/>
        <v>0</v>
      </c>
      <c r="AU99" s="37">
        <f t="shared" si="15"/>
        <v>0</v>
      </c>
      <c r="AV99" s="37">
        <f t="shared" si="15"/>
        <v>16646.88</v>
      </c>
      <c r="AW99" s="37">
        <f t="shared" si="15"/>
        <v>71935</v>
      </c>
      <c r="AX99" s="37">
        <f t="shared" si="15"/>
        <v>0</v>
      </c>
      <c r="AY99" s="64">
        <f t="shared" si="13"/>
        <v>0</v>
      </c>
    </row>
    <row r="100" spans="1:51">
      <c r="A100" s="231">
        <v>2091</v>
      </c>
      <c r="B100" s="4">
        <v>103208</v>
      </c>
      <c r="C100" s="4" t="s">
        <v>655</v>
      </c>
      <c r="D100" s="4" t="s">
        <v>656</v>
      </c>
      <c r="E100" s="4" t="s">
        <v>5</v>
      </c>
      <c r="F100" s="232" t="s">
        <v>411</v>
      </c>
      <c r="H100" s="211">
        <v>7362</v>
      </c>
      <c r="I100" s="212">
        <v>0</v>
      </c>
      <c r="J100" s="212">
        <v>9008</v>
      </c>
      <c r="K100" s="211">
        <v>1996.88</v>
      </c>
      <c r="L100" s="211">
        <v>0</v>
      </c>
      <c r="M100" s="212">
        <v>7418</v>
      </c>
      <c r="N100" s="244">
        <v>0</v>
      </c>
      <c r="O100" s="212">
        <v>0</v>
      </c>
      <c r="P100" s="212">
        <v>0</v>
      </c>
      <c r="Q100" s="212">
        <v>5828</v>
      </c>
      <c r="R100" s="212">
        <v>31352</v>
      </c>
      <c r="S100" s="212">
        <v>3045</v>
      </c>
      <c r="T100" s="212">
        <v>800</v>
      </c>
      <c r="U100" s="212"/>
      <c r="V100" s="212">
        <v>0</v>
      </c>
      <c r="W100" s="212">
        <v>0</v>
      </c>
      <c r="X100" s="212">
        <v>11497</v>
      </c>
      <c r="Y100" s="212"/>
      <c r="Z100" s="212"/>
      <c r="AA100" s="212"/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2"/>
      <c r="AL100" s="212"/>
      <c r="AM100" s="212"/>
      <c r="AN100" s="229">
        <f t="shared" si="11"/>
        <v>78306.880000000005</v>
      </c>
      <c r="AP100" s="37">
        <f t="shared" si="15"/>
        <v>16426</v>
      </c>
      <c r="AQ100" s="37">
        <f t="shared" si="15"/>
        <v>0</v>
      </c>
      <c r="AR100" s="37">
        <f t="shared" si="15"/>
        <v>31352</v>
      </c>
      <c r="AS100" s="37">
        <f t="shared" si="15"/>
        <v>800</v>
      </c>
      <c r="AT100" s="37">
        <f t="shared" si="15"/>
        <v>0</v>
      </c>
      <c r="AU100" s="37">
        <f t="shared" si="15"/>
        <v>0</v>
      </c>
      <c r="AV100" s="37">
        <f t="shared" si="15"/>
        <v>5041.88</v>
      </c>
      <c r="AW100" s="37">
        <f t="shared" si="15"/>
        <v>24687</v>
      </c>
      <c r="AX100" s="37">
        <f t="shared" si="15"/>
        <v>0</v>
      </c>
      <c r="AY100" s="64">
        <f t="shared" si="13"/>
        <v>0</v>
      </c>
    </row>
    <row r="101" spans="1:51">
      <c r="A101" s="231">
        <v>7006</v>
      </c>
      <c r="B101" s="4">
        <v>103600</v>
      </c>
      <c r="C101" s="4" t="s">
        <v>658</v>
      </c>
      <c r="D101" s="4" t="s">
        <v>659</v>
      </c>
      <c r="E101" s="4" t="s">
        <v>1093</v>
      </c>
      <c r="F101" s="232" t="s">
        <v>411</v>
      </c>
      <c r="H101" s="211">
        <v>7167</v>
      </c>
      <c r="I101" s="212">
        <v>90319.65</v>
      </c>
      <c r="J101" s="212">
        <v>0</v>
      </c>
      <c r="K101" s="211">
        <v>5214.0600000000004</v>
      </c>
      <c r="L101" s="211">
        <v>0</v>
      </c>
      <c r="M101" s="212">
        <v>0</v>
      </c>
      <c r="N101" s="244">
        <v>0</v>
      </c>
      <c r="O101" s="212">
        <v>0</v>
      </c>
      <c r="P101" s="212">
        <v>0</v>
      </c>
      <c r="Q101" s="212">
        <v>8192</v>
      </c>
      <c r="R101" s="212">
        <v>31270</v>
      </c>
      <c r="S101" s="212">
        <v>12664.5</v>
      </c>
      <c r="T101" s="212">
        <v>200</v>
      </c>
      <c r="U101" s="212"/>
      <c r="V101" s="212">
        <v>67701.789999999994</v>
      </c>
      <c r="W101" s="212">
        <v>0</v>
      </c>
      <c r="X101" s="212">
        <v>8133</v>
      </c>
      <c r="Y101" s="212"/>
      <c r="Z101" s="212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2"/>
      <c r="AK101" s="212"/>
      <c r="AL101" s="212"/>
      <c r="AM101" s="212"/>
      <c r="AN101" s="229">
        <f t="shared" si="11"/>
        <v>230862</v>
      </c>
      <c r="AP101" s="37">
        <f t="shared" si="15"/>
        <v>158021.44</v>
      </c>
      <c r="AQ101" s="37">
        <f t="shared" si="15"/>
        <v>0</v>
      </c>
      <c r="AR101" s="37">
        <f t="shared" si="15"/>
        <v>31270</v>
      </c>
      <c r="AS101" s="37">
        <f t="shared" si="15"/>
        <v>200</v>
      </c>
      <c r="AT101" s="37">
        <f t="shared" si="15"/>
        <v>0</v>
      </c>
      <c r="AU101" s="37">
        <f t="shared" si="15"/>
        <v>0</v>
      </c>
      <c r="AV101" s="37">
        <f t="shared" si="15"/>
        <v>17878.560000000001</v>
      </c>
      <c r="AW101" s="37">
        <f t="shared" si="15"/>
        <v>23492</v>
      </c>
      <c r="AX101" s="37">
        <f t="shared" si="15"/>
        <v>0</v>
      </c>
      <c r="AY101" s="64">
        <f t="shared" si="13"/>
        <v>0</v>
      </c>
    </row>
    <row r="102" spans="1:51">
      <c r="A102" s="231">
        <v>2477</v>
      </c>
      <c r="B102" s="4">
        <v>132261</v>
      </c>
      <c r="C102" s="4" t="s">
        <v>661</v>
      </c>
      <c r="D102" s="4" t="s">
        <v>662</v>
      </c>
      <c r="E102" s="4" t="s">
        <v>5</v>
      </c>
      <c r="F102" s="232" t="s">
        <v>411</v>
      </c>
      <c r="H102" s="211">
        <v>9392</v>
      </c>
      <c r="I102" s="212">
        <v>0</v>
      </c>
      <c r="J102" s="212">
        <v>28493</v>
      </c>
      <c r="K102" s="211">
        <v>2025</v>
      </c>
      <c r="L102" s="211">
        <v>0</v>
      </c>
      <c r="M102" s="212">
        <v>23530</v>
      </c>
      <c r="N102" s="244">
        <v>0</v>
      </c>
      <c r="O102" s="212">
        <v>0</v>
      </c>
      <c r="P102" s="212">
        <v>0</v>
      </c>
      <c r="Q102" s="212">
        <v>61569</v>
      </c>
      <c r="R102" s="212">
        <v>30307</v>
      </c>
      <c r="S102" s="212">
        <v>2827.5</v>
      </c>
      <c r="T102" s="212">
        <v>1000</v>
      </c>
      <c r="U102" s="212"/>
      <c r="V102" s="212">
        <v>0</v>
      </c>
      <c r="W102" s="212">
        <v>0</v>
      </c>
      <c r="X102" s="212">
        <v>89731</v>
      </c>
      <c r="Y102" s="212"/>
      <c r="Z102" s="212"/>
      <c r="AA102" s="212"/>
      <c r="AB102" s="212"/>
      <c r="AC102" s="212"/>
      <c r="AD102" s="212"/>
      <c r="AE102" s="212"/>
      <c r="AF102" s="212"/>
      <c r="AG102" s="212"/>
      <c r="AH102" s="212"/>
      <c r="AI102" s="212"/>
      <c r="AJ102" s="212"/>
      <c r="AK102" s="212"/>
      <c r="AL102" s="212"/>
      <c r="AM102" s="212"/>
      <c r="AN102" s="229">
        <f t="shared" si="11"/>
        <v>248874.5</v>
      </c>
      <c r="AP102" s="37">
        <f t="shared" ref="AP102:AX111" si="16">SUMIF($H$3:$AM$3,AP$6,$H102:$AM102)</f>
        <v>52023</v>
      </c>
      <c r="AQ102" s="37">
        <f t="shared" si="16"/>
        <v>0</v>
      </c>
      <c r="AR102" s="37">
        <f t="shared" si="16"/>
        <v>30307</v>
      </c>
      <c r="AS102" s="37">
        <f t="shared" si="16"/>
        <v>1000</v>
      </c>
      <c r="AT102" s="37">
        <f t="shared" si="16"/>
        <v>0</v>
      </c>
      <c r="AU102" s="37">
        <f t="shared" si="16"/>
        <v>0</v>
      </c>
      <c r="AV102" s="37">
        <f t="shared" si="16"/>
        <v>4852.5</v>
      </c>
      <c r="AW102" s="37">
        <f t="shared" si="16"/>
        <v>160692</v>
      </c>
      <c r="AX102" s="37">
        <f t="shared" si="16"/>
        <v>0</v>
      </c>
      <c r="AY102" s="64">
        <f t="shared" si="13"/>
        <v>0</v>
      </c>
    </row>
    <row r="103" spans="1:51">
      <c r="A103" s="231">
        <v>3436</v>
      </c>
      <c r="B103" s="4">
        <v>136440</v>
      </c>
      <c r="C103" s="4" t="s">
        <v>664</v>
      </c>
      <c r="D103" s="4" t="s">
        <v>665</v>
      </c>
      <c r="E103" s="4" t="s">
        <v>5</v>
      </c>
      <c r="F103" s="232" t="s">
        <v>411</v>
      </c>
      <c r="H103" s="211">
        <v>7325</v>
      </c>
      <c r="I103" s="212">
        <v>0</v>
      </c>
      <c r="J103" s="212">
        <v>8538</v>
      </c>
      <c r="K103" s="211">
        <v>2306.25</v>
      </c>
      <c r="L103" s="211">
        <v>0</v>
      </c>
      <c r="M103" s="212">
        <v>7034</v>
      </c>
      <c r="N103" s="244">
        <v>0</v>
      </c>
      <c r="O103" s="212">
        <v>0</v>
      </c>
      <c r="P103" s="212">
        <v>0</v>
      </c>
      <c r="Q103" s="212">
        <v>10555</v>
      </c>
      <c r="R103" s="212">
        <v>25802</v>
      </c>
      <c r="S103" s="212">
        <v>2501.25</v>
      </c>
      <c r="T103" s="212">
        <v>0</v>
      </c>
      <c r="U103" s="212"/>
      <c r="V103" s="212">
        <v>0</v>
      </c>
      <c r="W103" s="212">
        <v>0</v>
      </c>
      <c r="X103" s="212">
        <v>14582</v>
      </c>
      <c r="Y103" s="212"/>
      <c r="Z103" s="212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2"/>
      <c r="AK103" s="212"/>
      <c r="AL103" s="212"/>
      <c r="AM103" s="212"/>
      <c r="AN103" s="229">
        <f t="shared" si="11"/>
        <v>78643.5</v>
      </c>
      <c r="AP103" s="37">
        <f t="shared" si="16"/>
        <v>15572</v>
      </c>
      <c r="AQ103" s="37">
        <f t="shared" si="16"/>
        <v>0</v>
      </c>
      <c r="AR103" s="37">
        <f t="shared" si="16"/>
        <v>25802</v>
      </c>
      <c r="AS103" s="37">
        <f t="shared" si="16"/>
        <v>0</v>
      </c>
      <c r="AT103" s="37">
        <f t="shared" si="16"/>
        <v>0</v>
      </c>
      <c r="AU103" s="37">
        <f t="shared" si="16"/>
        <v>0</v>
      </c>
      <c r="AV103" s="37">
        <f t="shared" si="16"/>
        <v>4807.5</v>
      </c>
      <c r="AW103" s="37">
        <f t="shared" si="16"/>
        <v>32462</v>
      </c>
      <c r="AX103" s="37">
        <f t="shared" si="16"/>
        <v>0</v>
      </c>
      <c r="AY103" s="64">
        <f t="shared" si="13"/>
        <v>0</v>
      </c>
    </row>
    <row r="104" spans="1:51">
      <c r="A104" s="231">
        <v>1010</v>
      </c>
      <c r="B104" s="4">
        <v>103125</v>
      </c>
      <c r="C104" s="4" t="s">
        <v>667</v>
      </c>
      <c r="D104" s="4" t="s">
        <v>668</v>
      </c>
      <c r="E104" s="4" t="s">
        <v>180</v>
      </c>
      <c r="F104" s="232" t="s">
        <v>411</v>
      </c>
      <c r="H104" s="211">
        <v>0</v>
      </c>
      <c r="I104" s="212">
        <v>0</v>
      </c>
      <c r="J104" s="212">
        <v>0</v>
      </c>
      <c r="K104" s="211">
        <v>0</v>
      </c>
      <c r="L104" s="211">
        <v>0</v>
      </c>
      <c r="M104" s="212">
        <v>0</v>
      </c>
      <c r="N104" s="244">
        <v>0</v>
      </c>
      <c r="O104" s="212">
        <v>0</v>
      </c>
      <c r="P104" s="212">
        <v>0</v>
      </c>
      <c r="Q104" s="212">
        <v>0</v>
      </c>
      <c r="R104" s="212">
        <v>0</v>
      </c>
      <c r="S104" s="212">
        <v>0</v>
      </c>
      <c r="T104" s="212">
        <v>0</v>
      </c>
      <c r="U104" s="212"/>
      <c r="V104" s="212">
        <v>0</v>
      </c>
      <c r="W104" s="212">
        <v>0</v>
      </c>
      <c r="X104" s="212">
        <v>0</v>
      </c>
      <c r="Y104" s="212"/>
      <c r="Z104" s="212"/>
      <c r="AA104" s="212"/>
      <c r="AB104" s="212"/>
      <c r="AC104" s="212"/>
      <c r="AD104" s="212"/>
      <c r="AE104" s="212"/>
      <c r="AF104" s="212"/>
      <c r="AG104" s="212"/>
      <c r="AH104" s="212"/>
      <c r="AI104" s="212"/>
      <c r="AJ104" s="212"/>
      <c r="AK104" s="212"/>
      <c r="AL104" s="212"/>
      <c r="AM104" s="212"/>
      <c r="AN104" s="229">
        <f t="shared" ref="AN104:AN135" si="17">SUM(H104:AM104)</f>
        <v>0</v>
      </c>
      <c r="AP104" s="37">
        <f t="shared" si="16"/>
        <v>0</v>
      </c>
      <c r="AQ104" s="37">
        <f t="shared" si="16"/>
        <v>0</v>
      </c>
      <c r="AR104" s="37">
        <f t="shared" si="16"/>
        <v>0</v>
      </c>
      <c r="AS104" s="37">
        <f t="shared" si="16"/>
        <v>0</v>
      </c>
      <c r="AT104" s="37">
        <f t="shared" si="16"/>
        <v>0</v>
      </c>
      <c r="AU104" s="37">
        <f t="shared" si="16"/>
        <v>0</v>
      </c>
      <c r="AV104" s="37">
        <f t="shared" si="16"/>
        <v>0</v>
      </c>
      <c r="AW104" s="37">
        <f t="shared" si="16"/>
        <v>0</v>
      </c>
      <c r="AX104" s="37">
        <f t="shared" si="16"/>
        <v>0</v>
      </c>
      <c r="AY104" s="64">
        <f t="shared" si="13"/>
        <v>0</v>
      </c>
    </row>
    <row r="105" spans="1:51">
      <c r="A105" s="231">
        <v>3411</v>
      </c>
      <c r="B105" s="4">
        <v>103479</v>
      </c>
      <c r="C105" s="4" t="s">
        <v>673</v>
      </c>
      <c r="D105" s="4" t="s">
        <v>674</v>
      </c>
      <c r="E105" s="4" t="s">
        <v>5</v>
      </c>
      <c r="F105" s="232" t="s">
        <v>411</v>
      </c>
      <c r="H105" s="211">
        <v>7117</v>
      </c>
      <c r="I105" s="212">
        <v>0</v>
      </c>
      <c r="J105" s="212">
        <v>8931</v>
      </c>
      <c r="K105" s="211">
        <v>2193.75</v>
      </c>
      <c r="L105" s="211">
        <v>0</v>
      </c>
      <c r="M105" s="212">
        <v>7346</v>
      </c>
      <c r="N105" s="244">
        <v>0</v>
      </c>
      <c r="O105" s="212">
        <v>0</v>
      </c>
      <c r="P105" s="212">
        <v>0</v>
      </c>
      <c r="Q105" s="212">
        <v>7370</v>
      </c>
      <c r="R105" s="212">
        <v>41142</v>
      </c>
      <c r="S105" s="212">
        <v>3987.5</v>
      </c>
      <c r="T105" s="212">
        <v>400</v>
      </c>
      <c r="U105" s="212"/>
      <c r="V105" s="212">
        <v>0</v>
      </c>
      <c r="W105" s="212">
        <v>1799</v>
      </c>
      <c r="X105" s="212">
        <v>11497</v>
      </c>
      <c r="Y105" s="212"/>
      <c r="Z105" s="212"/>
      <c r="AA105" s="212"/>
      <c r="AB105" s="212"/>
      <c r="AC105" s="212"/>
      <c r="AD105" s="212"/>
      <c r="AE105" s="212"/>
      <c r="AF105" s="212"/>
      <c r="AG105" s="212"/>
      <c r="AH105" s="212"/>
      <c r="AI105" s="212"/>
      <c r="AJ105" s="212"/>
      <c r="AK105" s="212"/>
      <c r="AL105" s="212"/>
      <c r="AM105" s="212"/>
      <c r="AN105" s="229">
        <f t="shared" si="17"/>
        <v>91783.25</v>
      </c>
      <c r="AP105" s="37">
        <f t="shared" si="16"/>
        <v>18076</v>
      </c>
      <c r="AQ105" s="37">
        <f t="shared" si="16"/>
        <v>0</v>
      </c>
      <c r="AR105" s="37">
        <f t="shared" si="16"/>
        <v>41142</v>
      </c>
      <c r="AS105" s="37">
        <f t="shared" si="16"/>
        <v>400</v>
      </c>
      <c r="AT105" s="37">
        <f t="shared" si="16"/>
        <v>0</v>
      </c>
      <c r="AU105" s="37">
        <f t="shared" si="16"/>
        <v>0</v>
      </c>
      <c r="AV105" s="37">
        <f t="shared" si="16"/>
        <v>6181.25</v>
      </c>
      <c r="AW105" s="37">
        <f t="shared" si="16"/>
        <v>25984</v>
      </c>
      <c r="AX105" s="37">
        <f t="shared" si="16"/>
        <v>0</v>
      </c>
      <c r="AY105" s="64">
        <f t="shared" si="13"/>
        <v>0</v>
      </c>
    </row>
    <row r="106" spans="1:51">
      <c r="A106" s="231">
        <v>2474</v>
      </c>
      <c r="B106" s="4">
        <v>131672</v>
      </c>
      <c r="C106" s="4" t="s">
        <v>676</v>
      </c>
      <c r="D106" s="4" t="s">
        <v>677</v>
      </c>
      <c r="E106" s="4" t="s">
        <v>5</v>
      </c>
      <c r="F106" s="232" t="s">
        <v>411</v>
      </c>
      <c r="H106" s="211">
        <v>8167</v>
      </c>
      <c r="I106" s="212">
        <v>0</v>
      </c>
      <c r="J106" s="212">
        <v>18015</v>
      </c>
      <c r="K106" s="211">
        <v>3065.63</v>
      </c>
      <c r="L106" s="211">
        <v>0</v>
      </c>
      <c r="M106" s="212">
        <v>14848</v>
      </c>
      <c r="N106" s="244">
        <v>0</v>
      </c>
      <c r="O106" s="212">
        <v>0</v>
      </c>
      <c r="P106" s="212">
        <v>0</v>
      </c>
      <c r="Q106" s="212">
        <v>21290</v>
      </c>
      <c r="R106" s="212">
        <v>52792</v>
      </c>
      <c r="S106" s="212">
        <v>5038.75</v>
      </c>
      <c r="T106" s="212">
        <v>0</v>
      </c>
      <c r="U106" s="212"/>
      <c r="V106" s="212">
        <v>0</v>
      </c>
      <c r="W106" s="212">
        <v>0</v>
      </c>
      <c r="X106" s="212">
        <v>31967</v>
      </c>
      <c r="Y106" s="212"/>
      <c r="Z106" s="212"/>
      <c r="AA106" s="212"/>
      <c r="AB106" s="212"/>
      <c r="AC106" s="212"/>
      <c r="AD106" s="212"/>
      <c r="AE106" s="212"/>
      <c r="AF106" s="212"/>
      <c r="AG106" s="212"/>
      <c r="AH106" s="212"/>
      <c r="AI106" s="212"/>
      <c r="AJ106" s="212"/>
      <c r="AK106" s="212"/>
      <c r="AL106" s="212"/>
      <c r="AM106" s="212"/>
      <c r="AN106" s="229">
        <f t="shared" si="17"/>
        <v>155183.38</v>
      </c>
      <c r="AP106" s="37">
        <f t="shared" si="16"/>
        <v>32863</v>
      </c>
      <c r="AQ106" s="37">
        <f t="shared" si="16"/>
        <v>0</v>
      </c>
      <c r="AR106" s="37">
        <f t="shared" si="16"/>
        <v>52792</v>
      </c>
      <c r="AS106" s="37">
        <f t="shared" si="16"/>
        <v>0</v>
      </c>
      <c r="AT106" s="37">
        <f t="shared" si="16"/>
        <v>0</v>
      </c>
      <c r="AU106" s="37">
        <f t="shared" si="16"/>
        <v>0</v>
      </c>
      <c r="AV106" s="37">
        <f t="shared" si="16"/>
        <v>8104.38</v>
      </c>
      <c r="AW106" s="37">
        <f t="shared" si="16"/>
        <v>61424</v>
      </c>
      <c r="AX106" s="37">
        <f t="shared" si="16"/>
        <v>0</v>
      </c>
      <c r="AY106" s="64">
        <f t="shared" si="13"/>
        <v>0</v>
      </c>
    </row>
    <row r="107" spans="1:51">
      <c r="A107" s="231">
        <v>3317</v>
      </c>
      <c r="B107" s="4">
        <v>103421</v>
      </c>
      <c r="C107" s="4" t="s">
        <v>679</v>
      </c>
      <c r="D107" s="4" t="s">
        <v>161</v>
      </c>
      <c r="E107" s="4" t="s">
        <v>5</v>
      </c>
      <c r="F107" s="232" t="s">
        <v>411</v>
      </c>
      <c r="H107" s="211">
        <v>7417</v>
      </c>
      <c r="I107" s="212">
        <v>0</v>
      </c>
      <c r="J107" s="212">
        <v>9725</v>
      </c>
      <c r="K107" s="211">
        <v>2418.75</v>
      </c>
      <c r="L107" s="211">
        <v>0</v>
      </c>
      <c r="M107" s="212">
        <v>8009</v>
      </c>
      <c r="N107" s="244">
        <v>1200</v>
      </c>
      <c r="O107" s="212">
        <v>0</v>
      </c>
      <c r="P107" s="212">
        <v>0</v>
      </c>
      <c r="Q107" s="212">
        <v>9934</v>
      </c>
      <c r="R107" s="212">
        <v>34497</v>
      </c>
      <c r="S107" s="212">
        <v>3353.25</v>
      </c>
      <c r="T107" s="212">
        <v>0</v>
      </c>
      <c r="U107" s="212"/>
      <c r="V107" s="212">
        <v>0</v>
      </c>
      <c r="W107" s="212">
        <v>1799</v>
      </c>
      <c r="X107" s="212">
        <v>12339</v>
      </c>
      <c r="Y107" s="212"/>
      <c r="Z107" s="212"/>
      <c r="AA107" s="212"/>
      <c r="AB107" s="212"/>
      <c r="AC107" s="212"/>
      <c r="AD107" s="212"/>
      <c r="AE107" s="212"/>
      <c r="AF107" s="212"/>
      <c r="AG107" s="212"/>
      <c r="AH107" s="212"/>
      <c r="AI107" s="212"/>
      <c r="AJ107" s="212"/>
      <c r="AK107" s="212"/>
      <c r="AL107" s="212"/>
      <c r="AM107" s="212"/>
      <c r="AN107" s="229">
        <f t="shared" si="17"/>
        <v>90692</v>
      </c>
      <c r="AP107" s="37">
        <f t="shared" si="16"/>
        <v>19533</v>
      </c>
      <c r="AQ107" s="37">
        <f t="shared" si="16"/>
        <v>0</v>
      </c>
      <c r="AR107" s="37">
        <f t="shared" si="16"/>
        <v>34497</v>
      </c>
      <c r="AS107" s="37">
        <f t="shared" si="16"/>
        <v>1200</v>
      </c>
      <c r="AT107" s="37">
        <f t="shared" si="16"/>
        <v>0</v>
      </c>
      <c r="AU107" s="37">
        <f t="shared" si="16"/>
        <v>0</v>
      </c>
      <c r="AV107" s="37">
        <f t="shared" si="16"/>
        <v>5772</v>
      </c>
      <c r="AW107" s="37">
        <f t="shared" si="16"/>
        <v>29690</v>
      </c>
      <c r="AX107" s="37">
        <f t="shared" si="16"/>
        <v>0</v>
      </c>
      <c r="AY107" s="64">
        <f t="shared" si="13"/>
        <v>0</v>
      </c>
    </row>
    <row r="108" spans="1:51">
      <c r="A108" s="231">
        <v>1023</v>
      </c>
      <c r="B108" s="4">
        <v>103136</v>
      </c>
      <c r="C108" s="4" t="s">
        <v>681</v>
      </c>
      <c r="D108" s="4" t="s">
        <v>682</v>
      </c>
      <c r="E108" s="4" t="s">
        <v>180</v>
      </c>
      <c r="F108" s="232" t="s">
        <v>411</v>
      </c>
      <c r="H108" s="211">
        <v>0</v>
      </c>
      <c r="I108" s="212">
        <v>0</v>
      </c>
      <c r="J108" s="212">
        <v>0</v>
      </c>
      <c r="K108" s="211">
        <v>0</v>
      </c>
      <c r="L108" s="211">
        <v>0</v>
      </c>
      <c r="M108" s="212">
        <v>0</v>
      </c>
      <c r="N108" s="244">
        <v>0</v>
      </c>
      <c r="O108" s="212">
        <v>0</v>
      </c>
      <c r="P108" s="212">
        <v>0</v>
      </c>
      <c r="Q108" s="212">
        <v>0</v>
      </c>
      <c r="R108" s="212">
        <v>0</v>
      </c>
      <c r="S108" s="212">
        <v>0</v>
      </c>
      <c r="T108" s="212">
        <v>0</v>
      </c>
      <c r="U108" s="212"/>
      <c r="V108" s="212">
        <v>0</v>
      </c>
      <c r="W108" s="212">
        <v>0</v>
      </c>
      <c r="X108" s="212">
        <v>0</v>
      </c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2"/>
      <c r="AL108" s="212"/>
      <c r="AM108" s="212"/>
      <c r="AN108" s="229">
        <f t="shared" si="17"/>
        <v>0</v>
      </c>
      <c r="AP108" s="37">
        <f t="shared" si="16"/>
        <v>0</v>
      </c>
      <c r="AQ108" s="37">
        <f t="shared" si="16"/>
        <v>0</v>
      </c>
      <c r="AR108" s="37">
        <f t="shared" si="16"/>
        <v>0</v>
      </c>
      <c r="AS108" s="37">
        <f t="shared" si="16"/>
        <v>0</v>
      </c>
      <c r="AT108" s="37">
        <f t="shared" si="16"/>
        <v>0</v>
      </c>
      <c r="AU108" s="37">
        <f t="shared" si="16"/>
        <v>0</v>
      </c>
      <c r="AV108" s="37">
        <f t="shared" si="16"/>
        <v>0</v>
      </c>
      <c r="AW108" s="37">
        <f t="shared" si="16"/>
        <v>0</v>
      </c>
      <c r="AX108" s="37">
        <f t="shared" si="16"/>
        <v>0</v>
      </c>
      <c r="AY108" s="64">
        <f t="shared" si="13"/>
        <v>0</v>
      </c>
    </row>
    <row r="109" spans="1:51">
      <c r="A109" s="231">
        <v>3352</v>
      </c>
      <c r="B109" s="4">
        <v>103444</v>
      </c>
      <c r="C109" s="4" t="s">
        <v>684</v>
      </c>
      <c r="D109" s="4" t="s">
        <v>685</v>
      </c>
      <c r="E109" s="4" t="s">
        <v>5</v>
      </c>
      <c r="F109" s="232" t="s">
        <v>411</v>
      </c>
      <c r="H109" s="211">
        <v>7396</v>
      </c>
      <c r="I109" s="212">
        <v>0</v>
      </c>
      <c r="J109" s="212">
        <v>8797</v>
      </c>
      <c r="K109" s="211">
        <v>1687.5</v>
      </c>
      <c r="L109" s="211">
        <v>0</v>
      </c>
      <c r="M109" s="212">
        <v>7249</v>
      </c>
      <c r="N109" s="244">
        <v>0</v>
      </c>
      <c r="O109" s="212">
        <v>0</v>
      </c>
      <c r="P109" s="212">
        <v>0</v>
      </c>
      <c r="Q109" s="212">
        <v>10075</v>
      </c>
      <c r="R109" s="212">
        <v>24420</v>
      </c>
      <c r="S109" s="212">
        <v>2392.5</v>
      </c>
      <c r="T109" s="212">
        <v>200</v>
      </c>
      <c r="U109" s="212"/>
      <c r="V109" s="212">
        <v>0</v>
      </c>
      <c r="W109" s="212">
        <v>0</v>
      </c>
      <c r="X109" s="212">
        <v>15283</v>
      </c>
      <c r="Y109" s="212"/>
      <c r="Z109" s="212"/>
      <c r="AA109" s="212"/>
      <c r="AB109" s="212"/>
      <c r="AC109" s="212"/>
      <c r="AD109" s="212"/>
      <c r="AE109" s="212"/>
      <c r="AF109" s="212"/>
      <c r="AG109" s="212"/>
      <c r="AH109" s="212"/>
      <c r="AI109" s="212"/>
      <c r="AJ109" s="212"/>
      <c r="AK109" s="212"/>
      <c r="AL109" s="212"/>
      <c r="AM109" s="212"/>
      <c r="AN109" s="229">
        <f t="shared" si="17"/>
        <v>77500</v>
      </c>
      <c r="AP109" s="37">
        <f t="shared" si="16"/>
        <v>16046</v>
      </c>
      <c r="AQ109" s="37">
        <f t="shared" si="16"/>
        <v>0</v>
      </c>
      <c r="AR109" s="37">
        <f t="shared" si="16"/>
        <v>24420</v>
      </c>
      <c r="AS109" s="37">
        <f t="shared" si="16"/>
        <v>200</v>
      </c>
      <c r="AT109" s="37">
        <f t="shared" si="16"/>
        <v>0</v>
      </c>
      <c r="AU109" s="37">
        <f t="shared" si="16"/>
        <v>0</v>
      </c>
      <c r="AV109" s="37">
        <f t="shared" si="16"/>
        <v>4080</v>
      </c>
      <c r="AW109" s="37">
        <f t="shared" si="16"/>
        <v>32754</v>
      </c>
      <c r="AX109" s="37">
        <f t="shared" si="16"/>
        <v>0</v>
      </c>
      <c r="AY109" s="64">
        <f t="shared" si="13"/>
        <v>0</v>
      </c>
    </row>
    <row r="110" spans="1:51">
      <c r="A110" s="231">
        <v>2005</v>
      </c>
      <c r="B110" s="4">
        <v>134098</v>
      </c>
      <c r="C110" s="4" t="s">
        <v>690</v>
      </c>
      <c r="D110" s="4" t="s">
        <v>691</v>
      </c>
      <c r="E110" s="4" t="s">
        <v>5</v>
      </c>
      <c r="F110" s="232" t="s">
        <v>411</v>
      </c>
      <c r="H110" s="211">
        <v>8983</v>
      </c>
      <c r="I110" s="212">
        <v>0</v>
      </c>
      <c r="J110" s="212">
        <v>24017</v>
      </c>
      <c r="K110" s="211">
        <v>3560.94</v>
      </c>
      <c r="L110" s="211">
        <v>0</v>
      </c>
      <c r="M110" s="212">
        <v>19816</v>
      </c>
      <c r="N110" s="244">
        <v>0</v>
      </c>
      <c r="O110" s="212">
        <v>0</v>
      </c>
      <c r="P110" s="212">
        <v>0</v>
      </c>
      <c r="Q110" s="212">
        <v>28341</v>
      </c>
      <c r="R110" s="212">
        <v>53370</v>
      </c>
      <c r="S110" s="212">
        <v>5109.5</v>
      </c>
      <c r="T110" s="212">
        <v>0</v>
      </c>
      <c r="U110" s="212"/>
      <c r="V110" s="212">
        <v>0</v>
      </c>
      <c r="W110" s="212">
        <v>1799</v>
      </c>
      <c r="X110" s="212">
        <v>46549</v>
      </c>
      <c r="Y110" s="212"/>
      <c r="Z110" s="212"/>
      <c r="AA110" s="212"/>
      <c r="AB110" s="212"/>
      <c r="AC110" s="212"/>
      <c r="AD110" s="212"/>
      <c r="AE110" s="212"/>
      <c r="AF110" s="212"/>
      <c r="AG110" s="212"/>
      <c r="AH110" s="212"/>
      <c r="AI110" s="212"/>
      <c r="AJ110" s="212"/>
      <c r="AK110" s="212"/>
      <c r="AL110" s="212"/>
      <c r="AM110" s="212"/>
      <c r="AN110" s="229">
        <f t="shared" si="17"/>
        <v>191545.44</v>
      </c>
      <c r="AP110" s="37">
        <f t="shared" si="16"/>
        <v>45632</v>
      </c>
      <c r="AQ110" s="37">
        <f t="shared" si="16"/>
        <v>0</v>
      </c>
      <c r="AR110" s="37">
        <f t="shared" si="16"/>
        <v>53370</v>
      </c>
      <c r="AS110" s="37">
        <f t="shared" si="16"/>
        <v>0</v>
      </c>
      <c r="AT110" s="37">
        <f t="shared" si="16"/>
        <v>0</v>
      </c>
      <c r="AU110" s="37">
        <f t="shared" si="16"/>
        <v>0</v>
      </c>
      <c r="AV110" s="37">
        <f t="shared" si="16"/>
        <v>8670.44</v>
      </c>
      <c r="AW110" s="37">
        <f t="shared" si="16"/>
        <v>83873</v>
      </c>
      <c r="AX110" s="37">
        <f t="shared" si="16"/>
        <v>0</v>
      </c>
      <c r="AY110" s="64">
        <f t="shared" si="13"/>
        <v>0</v>
      </c>
    </row>
    <row r="111" spans="1:51">
      <c r="A111" s="231">
        <v>1016</v>
      </c>
      <c r="B111" s="4">
        <v>103129</v>
      </c>
      <c r="C111" s="4" t="s">
        <v>693</v>
      </c>
      <c r="D111" s="4" t="s">
        <v>694</v>
      </c>
      <c r="E111" s="4" t="s">
        <v>180</v>
      </c>
      <c r="F111" s="232" t="s">
        <v>411</v>
      </c>
      <c r="H111" s="211">
        <v>0</v>
      </c>
      <c r="I111" s="212">
        <v>0</v>
      </c>
      <c r="J111" s="212">
        <v>0</v>
      </c>
      <c r="K111" s="211">
        <v>0</v>
      </c>
      <c r="L111" s="211">
        <v>0</v>
      </c>
      <c r="M111" s="212">
        <v>0</v>
      </c>
      <c r="N111" s="244">
        <v>0</v>
      </c>
      <c r="O111" s="212">
        <v>0</v>
      </c>
      <c r="P111" s="212">
        <v>0</v>
      </c>
      <c r="Q111" s="212">
        <v>0</v>
      </c>
      <c r="R111" s="212">
        <v>0</v>
      </c>
      <c r="S111" s="212">
        <v>0</v>
      </c>
      <c r="T111" s="212">
        <v>0</v>
      </c>
      <c r="U111" s="212"/>
      <c r="V111" s="212">
        <v>0</v>
      </c>
      <c r="W111" s="212">
        <v>0</v>
      </c>
      <c r="X111" s="212">
        <v>0</v>
      </c>
      <c r="Y111" s="212"/>
      <c r="Z111" s="212"/>
      <c r="AA111" s="212"/>
      <c r="AB111" s="212"/>
      <c r="AC111" s="212"/>
      <c r="AD111" s="212"/>
      <c r="AE111" s="212"/>
      <c r="AF111" s="212"/>
      <c r="AG111" s="212"/>
      <c r="AH111" s="212"/>
      <c r="AI111" s="212"/>
      <c r="AJ111" s="212"/>
      <c r="AK111" s="212"/>
      <c r="AL111" s="212"/>
      <c r="AM111" s="212"/>
      <c r="AN111" s="229">
        <f t="shared" si="17"/>
        <v>0</v>
      </c>
      <c r="AP111" s="37">
        <f t="shared" si="16"/>
        <v>0</v>
      </c>
      <c r="AQ111" s="37">
        <f t="shared" si="16"/>
        <v>0</v>
      </c>
      <c r="AR111" s="37">
        <f t="shared" si="16"/>
        <v>0</v>
      </c>
      <c r="AS111" s="37">
        <f t="shared" si="16"/>
        <v>0</v>
      </c>
      <c r="AT111" s="37">
        <f t="shared" si="16"/>
        <v>0</v>
      </c>
      <c r="AU111" s="37">
        <f t="shared" si="16"/>
        <v>0</v>
      </c>
      <c r="AV111" s="37">
        <f t="shared" si="16"/>
        <v>0</v>
      </c>
      <c r="AW111" s="37">
        <f t="shared" si="16"/>
        <v>0</v>
      </c>
      <c r="AX111" s="37">
        <f t="shared" si="16"/>
        <v>0</v>
      </c>
      <c r="AY111" s="64">
        <f t="shared" si="13"/>
        <v>0</v>
      </c>
    </row>
    <row r="112" spans="1:51">
      <c r="A112" s="231">
        <v>2115</v>
      </c>
      <c r="B112" s="4">
        <v>103221</v>
      </c>
      <c r="C112" s="4" t="s">
        <v>696</v>
      </c>
      <c r="D112" s="4" t="s">
        <v>697</v>
      </c>
      <c r="E112" s="4" t="s">
        <v>5</v>
      </c>
      <c r="F112" s="232" t="s">
        <v>411</v>
      </c>
      <c r="H112" s="211">
        <v>7692</v>
      </c>
      <c r="I112" s="212">
        <v>0</v>
      </c>
      <c r="J112" s="212">
        <v>14676</v>
      </c>
      <c r="K112" s="211">
        <v>4134.38</v>
      </c>
      <c r="L112" s="211">
        <v>0</v>
      </c>
      <c r="M112" s="212">
        <v>12083</v>
      </c>
      <c r="N112" s="244">
        <v>0</v>
      </c>
      <c r="O112" s="212">
        <v>0</v>
      </c>
      <c r="P112" s="212">
        <v>0</v>
      </c>
      <c r="Q112" s="212">
        <v>13720</v>
      </c>
      <c r="R112" s="212">
        <v>58437</v>
      </c>
      <c r="S112" s="212">
        <v>5637</v>
      </c>
      <c r="T112" s="212">
        <v>800</v>
      </c>
      <c r="U112" s="212"/>
      <c r="V112" s="212">
        <v>0</v>
      </c>
      <c r="W112" s="212">
        <v>3598</v>
      </c>
      <c r="X112" s="212">
        <v>17246</v>
      </c>
      <c r="Y112" s="212"/>
      <c r="Z112" s="212"/>
      <c r="AA112" s="212"/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2"/>
      <c r="AL112" s="212"/>
      <c r="AM112" s="212"/>
      <c r="AN112" s="229">
        <f t="shared" si="17"/>
        <v>138023.38</v>
      </c>
      <c r="AP112" s="37">
        <f t="shared" ref="AP112:AX121" si="18">SUMIF($H$3:$AM$3,AP$6,$H112:$AM112)</f>
        <v>30357</v>
      </c>
      <c r="AQ112" s="37">
        <f t="shared" si="18"/>
        <v>0</v>
      </c>
      <c r="AR112" s="37">
        <f t="shared" si="18"/>
        <v>58437</v>
      </c>
      <c r="AS112" s="37">
        <f t="shared" si="18"/>
        <v>800</v>
      </c>
      <c r="AT112" s="37">
        <f t="shared" si="18"/>
        <v>0</v>
      </c>
      <c r="AU112" s="37">
        <f t="shared" si="18"/>
        <v>0</v>
      </c>
      <c r="AV112" s="37">
        <f t="shared" si="18"/>
        <v>9771.380000000001</v>
      </c>
      <c r="AW112" s="37">
        <f t="shared" si="18"/>
        <v>38658</v>
      </c>
      <c r="AX112" s="37">
        <f t="shared" si="18"/>
        <v>0</v>
      </c>
      <c r="AY112" s="64">
        <f t="shared" si="13"/>
        <v>0</v>
      </c>
    </row>
    <row r="113" spans="1:51">
      <c r="A113" s="231">
        <v>2441</v>
      </c>
      <c r="B113" s="4">
        <v>103368</v>
      </c>
      <c r="C113" s="4" t="s">
        <v>699</v>
      </c>
      <c r="D113" s="4" t="s">
        <v>700</v>
      </c>
      <c r="E113" s="4" t="s">
        <v>5</v>
      </c>
      <c r="F113" s="232" t="s">
        <v>411</v>
      </c>
      <c r="H113" s="211">
        <v>7937</v>
      </c>
      <c r="I113" s="212">
        <v>0</v>
      </c>
      <c r="J113" s="212">
        <v>17254</v>
      </c>
      <c r="K113" s="211">
        <v>5456.25</v>
      </c>
      <c r="L113" s="211">
        <v>0</v>
      </c>
      <c r="M113" s="212">
        <v>14200</v>
      </c>
      <c r="N113" s="244">
        <v>0</v>
      </c>
      <c r="O113" s="212">
        <v>0</v>
      </c>
      <c r="P113" s="212">
        <v>0</v>
      </c>
      <c r="Q113" s="212">
        <v>13359</v>
      </c>
      <c r="R113" s="212">
        <v>73162</v>
      </c>
      <c r="S113" s="212">
        <v>7141.25</v>
      </c>
      <c r="T113" s="212">
        <v>600</v>
      </c>
      <c r="U113" s="212"/>
      <c r="V113" s="212">
        <v>0</v>
      </c>
      <c r="W113" s="212">
        <v>3598</v>
      </c>
      <c r="X113" s="212">
        <v>14582</v>
      </c>
      <c r="Y113" s="212"/>
      <c r="Z113" s="212"/>
      <c r="AA113" s="212"/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212"/>
      <c r="AL113" s="212"/>
      <c r="AM113" s="212"/>
      <c r="AN113" s="229">
        <f t="shared" si="17"/>
        <v>157289.5</v>
      </c>
      <c r="AP113" s="37">
        <f t="shared" si="18"/>
        <v>35052</v>
      </c>
      <c r="AQ113" s="37">
        <f t="shared" si="18"/>
        <v>0</v>
      </c>
      <c r="AR113" s="37">
        <f t="shared" si="18"/>
        <v>73162</v>
      </c>
      <c r="AS113" s="37">
        <f t="shared" si="18"/>
        <v>600</v>
      </c>
      <c r="AT113" s="37">
        <f t="shared" si="18"/>
        <v>0</v>
      </c>
      <c r="AU113" s="37">
        <f t="shared" si="18"/>
        <v>0</v>
      </c>
      <c r="AV113" s="37">
        <f t="shared" si="18"/>
        <v>12597.5</v>
      </c>
      <c r="AW113" s="37">
        <f t="shared" si="18"/>
        <v>35878</v>
      </c>
      <c r="AX113" s="37">
        <f t="shared" si="18"/>
        <v>0</v>
      </c>
      <c r="AY113" s="64">
        <f t="shared" si="13"/>
        <v>0</v>
      </c>
    </row>
    <row r="114" spans="1:51">
      <c r="A114" s="231">
        <v>2321</v>
      </c>
      <c r="B114" s="4">
        <v>103339</v>
      </c>
      <c r="C114" s="4" t="s">
        <v>702</v>
      </c>
      <c r="D114" s="4" t="s">
        <v>863</v>
      </c>
      <c r="E114" s="4" t="s">
        <v>5</v>
      </c>
      <c r="F114" s="232" t="s">
        <v>411</v>
      </c>
      <c r="H114" s="211">
        <v>7337</v>
      </c>
      <c r="I114" s="212">
        <v>0</v>
      </c>
      <c r="J114" s="212">
        <v>10229</v>
      </c>
      <c r="K114" s="211">
        <v>2953.13</v>
      </c>
      <c r="L114" s="211">
        <v>0</v>
      </c>
      <c r="M114" s="212">
        <v>8416</v>
      </c>
      <c r="N114" s="244">
        <v>0</v>
      </c>
      <c r="O114" s="212">
        <v>0</v>
      </c>
      <c r="P114" s="212">
        <v>0</v>
      </c>
      <c r="Q114" s="212">
        <v>961</v>
      </c>
      <c r="R114" s="212">
        <v>45412</v>
      </c>
      <c r="S114" s="212">
        <v>4519.5</v>
      </c>
      <c r="T114" s="212">
        <v>0</v>
      </c>
      <c r="U114" s="212"/>
      <c r="V114" s="212">
        <v>0</v>
      </c>
      <c r="W114" s="212">
        <v>0</v>
      </c>
      <c r="X114" s="212">
        <v>3506</v>
      </c>
      <c r="Y114" s="212"/>
      <c r="Z114" s="212"/>
      <c r="AA114" s="212"/>
      <c r="AB114" s="212"/>
      <c r="AC114" s="212"/>
      <c r="AD114" s="212"/>
      <c r="AE114" s="212"/>
      <c r="AF114" s="212"/>
      <c r="AG114" s="212"/>
      <c r="AH114" s="212"/>
      <c r="AI114" s="212"/>
      <c r="AJ114" s="212"/>
      <c r="AK114" s="212"/>
      <c r="AL114" s="212"/>
      <c r="AM114" s="212"/>
      <c r="AN114" s="229">
        <f t="shared" si="17"/>
        <v>83333.63</v>
      </c>
      <c r="AP114" s="37">
        <f t="shared" si="18"/>
        <v>18645</v>
      </c>
      <c r="AQ114" s="37">
        <f t="shared" si="18"/>
        <v>0</v>
      </c>
      <c r="AR114" s="37">
        <f t="shared" si="18"/>
        <v>45412</v>
      </c>
      <c r="AS114" s="37">
        <f t="shared" si="18"/>
        <v>0</v>
      </c>
      <c r="AT114" s="37">
        <f t="shared" si="18"/>
        <v>0</v>
      </c>
      <c r="AU114" s="37">
        <f t="shared" si="18"/>
        <v>0</v>
      </c>
      <c r="AV114" s="37">
        <f t="shared" si="18"/>
        <v>7472.63</v>
      </c>
      <c r="AW114" s="37">
        <f t="shared" si="18"/>
        <v>11804</v>
      </c>
      <c r="AX114" s="37">
        <f t="shared" si="18"/>
        <v>0</v>
      </c>
      <c r="AY114" s="64">
        <f t="shared" si="13"/>
        <v>0</v>
      </c>
    </row>
    <row r="115" spans="1:51">
      <c r="A115" s="231">
        <v>1024</v>
      </c>
      <c r="B115" s="4">
        <v>103137</v>
      </c>
      <c r="C115" s="4" t="s">
        <v>705</v>
      </c>
      <c r="D115" s="4" t="s">
        <v>706</v>
      </c>
      <c r="E115" s="4" t="s">
        <v>180</v>
      </c>
      <c r="F115" s="232" t="s">
        <v>411</v>
      </c>
      <c r="H115" s="211">
        <v>0</v>
      </c>
      <c r="I115" s="212">
        <v>0</v>
      </c>
      <c r="J115" s="212">
        <v>0</v>
      </c>
      <c r="K115" s="211">
        <v>0</v>
      </c>
      <c r="L115" s="211">
        <v>0</v>
      </c>
      <c r="M115" s="212">
        <v>0</v>
      </c>
      <c r="N115" s="244">
        <v>0</v>
      </c>
      <c r="O115" s="212">
        <v>0</v>
      </c>
      <c r="P115" s="212">
        <v>0</v>
      </c>
      <c r="Q115" s="212">
        <v>0</v>
      </c>
      <c r="R115" s="212">
        <v>0</v>
      </c>
      <c r="S115" s="212">
        <v>0</v>
      </c>
      <c r="T115" s="212">
        <v>0</v>
      </c>
      <c r="U115" s="212"/>
      <c r="V115" s="212">
        <v>0</v>
      </c>
      <c r="W115" s="212">
        <v>0</v>
      </c>
      <c r="X115" s="212">
        <v>0</v>
      </c>
      <c r="Y115" s="212"/>
      <c r="Z115" s="212"/>
      <c r="AA115" s="212"/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2"/>
      <c r="AL115" s="212"/>
      <c r="AM115" s="212"/>
      <c r="AN115" s="229">
        <f t="shared" si="17"/>
        <v>0</v>
      </c>
      <c r="AP115" s="37">
        <f t="shared" si="18"/>
        <v>0</v>
      </c>
      <c r="AQ115" s="37">
        <f t="shared" si="18"/>
        <v>0</v>
      </c>
      <c r="AR115" s="37">
        <f t="shared" si="18"/>
        <v>0</v>
      </c>
      <c r="AS115" s="37">
        <f t="shared" si="18"/>
        <v>0</v>
      </c>
      <c r="AT115" s="37">
        <f t="shared" si="18"/>
        <v>0</v>
      </c>
      <c r="AU115" s="37">
        <f t="shared" si="18"/>
        <v>0</v>
      </c>
      <c r="AV115" s="37">
        <f t="shared" si="18"/>
        <v>0</v>
      </c>
      <c r="AW115" s="37">
        <f t="shared" si="18"/>
        <v>0</v>
      </c>
      <c r="AX115" s="37">
        <f t="shared" si="18"/>
        <v>0</v>
      </c>
      <c r="AY115" s="64">
        <f t="shared" si="13"/>
        <v>0</v>
      </c>
    </row>
    <row r="116" spans="1:51">
      <c r="A116" s="231">
        <v>7062</v>
      </c>
      <c r="B116" s="4">
        <v>103632</v>
      </c>
      <c r="C116" s="4" t="s">
        <v>708</v>
      </c>
      <c r="D116" s="4" t="s">
        <v>709</v>
      </c>
      <c r="E116" s="4" t="s">
        <v>1093</v>
      </c>
      <c r="F116" s="232" t="s">
        <v>411</v>
      </c>
      <c r="H116" s="211">
        <v>6746</v>
      </c>
      <c r="I116" s="212">
        <v>83740.08</v>
      </c>
      <c r="J116" s="212">
        <v>0</v>
      </c>
      <c r="K116" s="211">
        <v>7710.94</v>
      </c>
      <c r="L116" s="211">
        <v>0</v>
      </c>
      <c r="M116" s="212">
        <v>0</v>
      </c>
      <c r="N116" s="244">
        <v>0</v>
      </c>
      <c r="O116" s="212">
        <v>0</v>
      </c>
      <c r="P116" s="212">
        <v>0</v>
      </c>
      <c r="Q116" s="212">
        <v>0</v>
      </c>
      <c r="R116" s="212">
        <v>29730</v>
      </c>
      <c r="S116" s="212">
        <v>16260.5</v>
      </c>
      <c r="T116" s="212">
        <v>800</v>
      </c>
      <c r="U116" s="212"/>
      <c r="V116" s="212">
        <v>62769.87</v>
      </c>
      <c r="W116" s="212">
        <v>0</v>
      </c>
      <c r="X116" s="212">
        <v>0</v>
      </c>
      <c r="Y116" s="212"/>
      <c r="Z116" s="212"/>
      <c r="AA116" s="212"/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2"/>
      <c r="AL116" s="212"/>
      <c r="AM116" s="212"/>
      <c r="AN116" s="229">
        <f t="shared" si="17"/>
        <v>207757.39</v>
      </c>
      <c r="AP116" s="37">
        <f t="shared" si="18"/>
        <v>146509.95000000001</v>
      </c>
      <c r="AQ116" s="37">
        <f t="shared" si="18"/>
        <v>0</v>
      </c>
      <c r="AR116" s="37">
        <f t="shared" si="18"/>
        <v>29730</v>
      </c>
      <c r="AS116" s="37">
        <f t="shared" si="18"/>
        <v>800</v>
      </c>
      <c r="AT116" s="37">
        <f t="shared" si="18"/>
        <v>0</v>
      </c>
      <c r="AU116" s="37">
        <f t="shared" si="18"/>
        <v>0</v>
      </c>
      <c r="AV116" s="37">
        <f t="shared" si="18"/>
        <v>23971.439999999999</v>
      </c>
      <c r="AW116" s="37">
        <f t="shared" si="18"/>
        <v>6746</v>
      </c>
      <c r="AX116" s="37">
        <f t="shared" si="18"/>
        <v>0</v>
      </c>
      <c r="AY116" s="64">
        <f t="shared" si="13"/>
        <v>0</v>
      </c>
    </row>
    <row r="117" spans="1:51">
      <c r="A117" s="231">
        <v>2004</v>
      </c>
      <c r="B117" s="4">
        <v>134094</v>
      </c>
      <c r="C117" s="4" t="s">
        <v>711</v>
      </c>
      <c r="D117" s="4" t="s">
        <v>712</v>
      </c>
      <c r="E117" s="4" t="s">
        <v>5</v>
      </c>
      <c r="F117" s="232" t="s">
        <v>411</v>
      </c>
      <c r="H117" s="211">
        <v>7787</v>
      </c>
      <c r="I117" s="212">
        <v>0</v>
      </c>
      <c r="J117" s="212">
        <v>14570</v>
      </c>
      <c r="K117" s="211">
        <v>3206.25</v>
      </c>
      <c r="L117" s="211">
        <v>0</v>
      </c>
      <c r="M117" s="212">
        <v>12000</v>
      </c>
      <c r="N117" s="244">
        <v>0</v>
      </c>
      <c r="O117" s="212">
        <v>0</v>
      </c>
      <c r="P117" s="212">
        <v>0</v>
      </c>
      <c r="Q117" s="212">
        <v>16744</v>
      </c>
      <c r="R117" s="212">
        <v>49852</v>
      </c>
      <c r="S117" s="212">
        <v>4857.5</v>
      </c>
      <c r="T117" s="212">
        <v>400</v>
      </c>
      <c r="U117" s="212"/>
      <c r="V117" s="212">
        <v>0</v>
      </c>
      <c r="W117" s="212">
        <v>1799</v>
      </c>
      <c r="X117" s="212">
        <v>20891</v>
      </c>
      <c r="Y117" s="212"/>
      <c r="Z117" s="212"/>
      <c r="AA117" s="212"/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2"/>
      <c r="AL117" s="212"/>
      <c r="AM117" s="212"/>
      <c r="AN117" s="229">
        <f t="shared" si="17"/>
        <v>132106.75</v>
      </c>
      <c r="AP117" s="37">
        <f t="shared" si="18"/>
        <v>28369</v>
      </c>
      <c r="AQ117" s="37">
        <f t="shared" si="18"/>
        <v>0</v>
      </c>
      <c r="AR117" s="37">
        <f t="shared" si="18"/>
        <v>49852</v>
      </c>
      <c r="AS117" s="37">
        <f t="shared" si="18"/>
        <v>400</v>
      </c>
      <c r="AT117" s="37">
        <f t="shared" si="18"/>
        <v>0</v>
      </c>
      <c r="AU117" s="37">
        <f t="shared" si="18"/>
        <v>0</v>
      </c>
      <c r="AV117" s="37">
        <f t="shared" si="18"/>
        <v>8063.75</v>
      </c>
      <c r="AW117" s="37">
        <f t="shared" si="18"/>
        <v>45422</v>
      </c>
      <c r="AX117" s="37">
        <f t="shared" si="18"/>
        <v>0</v>
      </c>
      <c r="AY117" s="64">
        <f t="shared" si="13"/>
        <v>0</v>
      </c>
    </row>
    <row r="118" spans="1:51">
      <c r="A118" s="231">
        <v>1012</v>
      </c>
      <c r="B118" s="4">
        <v>103126</v>
      </c>
      <c r="C118" s="4" t="s">
        <v>714</v>
      </c>
      <c r="D118" s="4" t="s">
        <v>715</v>
      </c>
      <c r="E118" s="4" t="s">
        <v>180</v>
      </c>
      <c r="F118" s="232" t="s">
        <v>411</v>
      </c>
      <c r="H118" s="211">
        <v>0</v>
      </c>
      <c r="I118" s="212">
        <v>0</v>
      </c>
      <c r="J118" s="212">
        <v>0</v>
      </c>
      <c r="K118" s="211">
        <v>0</v>
      </c>
      <c r="L118" s="211">
        <v>0</v>
      </c>
      <c r="M118" s="212">
        <v>0</v>
      </c>
      <c r="N118" s="244">
        <v>0</v>
      </c>
      <c r="O118" s="212">
        <v>0</v>
      </c>
      <c r="P118" s="212">
        <v>0</v>
      </c>
      <c r="Q118" s="212">
        <v>0</v>
      </c>
      <c r="R118" s="212">
        <v>0</v>
      </c>
      <c r="S118" s="212">
        <v>0</v>
      </c>
      <c r="T118" s="212">
        <v>0</v>
      </c>
      <c r="U118" s="212"/>
      <c r="V118" s="212">
        <v>0</v>
      </c>
      <c r="W118" s="212">
        <v>0</v>
      </c>
      <c r="X118" s="212">
        <v>0</v>
      </c>
      <c r="Y118" s="212"/>
      <c r="Z118" s="212"/>
      <c r="AA118" s="212"/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2"/>
      <c r="AL118" s="212"/>
      <c r="AM118" s="212"/>
      <c r="AN118" s="229">
        <f t="shared" si="17"/>
        <v>0</v>
      </c>
      <c r="AP118" s="37">
        <f t="shared" si="18"/>
        <v>0</v>
      </c>
      <c r="AQ118" s="37">
        <f t="shared" si="18"/>
        <v>0</v>
      </c>
      <c r="AR118" s="37">
        <f t="shared" si="18"/>
        <v>0</v>
      </c>
      <c r="AS118" s="37">
        <f t="shared" si="18"/>
        <v>0</v>
      </c>
      <c r="AT118" s="37">
        <f t="shared" si="18"/>
        <v>0</v>
      </c>
      <c r="AU118" s="37">
        <f t="shared" si="18"/>
        <v>0</v>
      </c>
      <c r="AV118" s="37">
        <f t="shared" si="18"/>
        <v>0</v>
      </c>
      <c r="AW118" s="37">
        <f t="shared" si="18"/>
        <v>0</v>
      </c>
      <c r="AX118" s="37">
        <f t="shared" si="18"/>
        <v>0</v>
      </c>
      <c r="AY118" s="64">
        <f t="shared" si="13"/>
        <v>0</v>
      </c>
    </row>
    <row r="119" spans="1:51">
      <c r="A119" s="231">
        <v>3003</v>
      </c>
      <c r="B119" s="4">
        <v>103398</v>
      </c>
      <c r="C119" s="4" t="s">
        <v>717</v>
      </c>
      <c r="D119" s="4" t="s">
        <v>718</v>
      </c>
      <c r="E119" s="4" t="s">
        <v>5</v>
      </c>
      <c r="F119" s="232" t="s">
        <v>411</v>
      </c>
      <c r="H119" s="211">
        <v>7425</v>
      </c>
      <c r="I119" s="212">
        <v>0</v>
      </c>
      <c r="J119" s="212">
        <v>8431</v>
      </c>
      <c r="K119" s="211">
        <v>590.63</v>
      </c>
      <c r="L119" s="211">
        <v>0</v>
      </c>
      <c r="M119" s="212">
        <v>6959</v>
      </c>
      <c r="N119" s="244">
        <v>0</v>
      </c>
      <c r="O119" s="212">
        <v>0</v>
      </c>
      <c r="P119" s="212">
        <v>0</v>
      </c>
      <c r="Q119" s="212">
        <v>13780</v>
      </c>
      <c r="R119" s="212">
        <v>12275</v>
      </c>
      <c r="S119" s="212">
        <v>1087.5</v>
      </c>
      <c r="T119" s="212">
        <v>200</v>
      </c>
      <c r="U119" s="212"/>
      <c r="V119" s="212">
        <v>0</v>
      </c>
      <c r="W119" s="212">
        <v>0</v>
      </c>
      <c r="X119" s="212">
        <v>20471</v>
      </c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29">
        <f t="shared" si="17"/>
        <v>71219.13</v>
      </c>
      <c r="AP119" s="37">
        <f t="shared" si="18"/>
        <v>15390</v>
      </c>
      <c r="AQ119" s="37">
        <f t="shared" si="18"/>
        <v>0</v>
      </c>
      <c r="AR119" s="37">
        <f t="shared" si="18"/>
        <v>12275</v>
      </c>
      <c r="AS119" s="37">
        <f t="shared" si="18"/>
        <v>200</v>
      </c>
      <c r="AT119" s="37">
        <f t="shared" si="18"/>
        <v>0</v>
      </c>
      <c r="AU119" s="37">
        <f t="shared" si="18"/>
        <v>0</v>
      </c>
      <c r="AV119" s="37">
        <f t="shared" si="18"/>
        <v>1678.13</v>
      </c>
      <c r="AW119" s="37">
        <f t="shared" si="18"/>
        <v>41676</v>
      </c>
      <c r="AX119" s="37">
        <f t="shared" si="18"/>
        <v>0</v>
      </c>
      <c r="AY119" s="64">
        <f t="shared" si="13"/>
        <v>0</v>
      </c>
    </row>
    <row r="120" spans="1:51">
      <c r="A120" s="231">
        <v>2457</v>
      </c>
      <c r="B120" s="4">
        <v>103384</v>
      </c>
      <c r="C120" s="4" t="s">
        <v>720</v>
      </c>
      <c r="D120" s="4" t="s">
        <v>721</v>
      </c>
      <c r="E120" s="4" t="s">
        <v>5</v>
      </c>
      <c r="F120" s="232" t="s">
        <v>411</v>
      </c>
      <c r="H120" s="211">
        <v>8158</v>
      </c>
      <c r="I120" s="212">
        <v>0</v>
      </c>
      <c r="J120" s="212">
        <v>18738</v>
      </c>
      <c r="K120" s="211">
        <v>4432.8100000000004</v>
      </c>
      <c r="L120" s="211">
        <v>0</v>
      </c>
      <c r="M120" s="212">
        <v>15435</v>
      </c>
      <c r="N120" s="244">
        <v>0</v>
      </c>
      <c r="O120" s="212">
        <v>0</v>
      </c>
      <c r="P120" s="212">
        <v>0</v>
      </c>
      <c r="Q120" s="212">
        <v>22813</v>
      </c>
      <c r="R120" s="212">
        <v>63270</v>
      </c>
      <c r="S120" s="212">
        <v>6198.75</v>
      </c>
      <c r="T120" s="212">
        <v>0</v>
      </c>
      <c r="U120" s="212"/>
      <c r="V120" s="212">
        <v>0</v>
      </c>
      <c r="W120" s="212">
        <v>0</v>
      </c>
      <c r="X120" s="212">
        <v>32528</v>
      </c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29">
        <f t="shared" si="17"/>
        <v>171573.56</v>
      </c>
      <c r="AP120" s="37">
        <f t="shared" si="18"/>
        <v>34173</v>
      </c>
      <c r="AQ120" s="37">
        <f t="shared" si="18"/>
        <v>0</v>
      </c>
      <c r="AR120" s="37">
        <f t="shared" si="18"/>
        <v>63270</v>
      </c>
      <c r="AS120" s="37">
        <f t="shared" si="18"/>
        <v>0</v>
      </c>
      <c r="AT120" s="37">
        <f t="shared" si="18"/>
        <v>0</v>
      </c>
      <c r="AU120" s="37">
        <f t="shared" si="18"/>
        <v>0</v>
      </c>
      <c r="AV120" s="37">
        <f t="shared" si="18"/>
        <v>10631.560000000001</v>
      </c>
      <c r="AW120" s="37">
        <f t="shared" si="18"/>
        <v>63499</v>
      </c>
      <c r="AX120" s="37">
        <f t="shared" si="18"/>
        <v>0</v>
      </c>
      <c r="AY120" s="64">
        <f t="shared" si="13"/>
        <v>0</v>
      </c>
    </row>
    <row r="121" spans="1:51">
      <c r="A121" s="231">
        <v>2142</v>
      </c>
      <c r="B121" s="4">
        <v>103237</v>
      </c>
      <c r="C121" s="4" t="s">
        <v>723</v>
      </c>
      <c r="D121" s="4" t="s">
        <v>724</v>
      </c>
      <c r="E121" s="4" t="s">
        <v>5</v>
      </c>
      <c r="F121" s="232" t="s">
        <v>411</v>
      </c>
      <c r="H121" s="211">
        <v>8142</v>
      </c>
      <c r="I121" s="212">
        <v>0</v>
      </c>
      <c r="J121" s="212">
        <v>19493</v>
      </c>
      <c r="K121" s="211">
        <v>5400</v>
      </c>
      <c r="L121" s="211">
        <v>0</v>
      </c>
      <c r="M121" s="212">
        <v>16053</v>
      </c>
      <c r="N121" s="244">
        <v>0</v>
      </c>
      <c r="O121" s="212">
        <v>0</v>
      </c>
      <c r="P121" s="212">
        <v>0</v>
      </c>
      <c r="Q121" s="212">
        <v>19068</v>
      </c>
      <c r="R121" s="212">
        <v>71410</v>
      </c>
      <c r="S121" s="212">
        <v>6996.25</v>
      </c>
      <c r="T121" s="212">
        <v>200</v>
      </c>
      <c r="U121" s="212"/>
      <c r="V121" s="212">
        <v>0</v>
      </c>
      <c r="W121" s="212">
        <v>0</v>
      </c>
      <c r="X121" s="212">
        <v>26500</v>
      </c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29">
        <f t="shared" si="17"/>
        <v>173262.25</v>
      </c>
      <c r="AP121" s="37">
        <f t="shared" si="18"/>
        <v>35546</v>
      </c>
      <c r="AQ121" s="37">
        <f t="shared" si="18"/>
        <v>0</v>
      </c>
      <c r="AR121" s="37">
        <f t="shared" si="18"/>
        <v>71410</v>
      </c>
      <c r="AS121" s="37">
        <f t="shared" si="18"/>
        <v>200</v>
      </c>
      <c r="AT121" s="37">
        <f t="shared" si="18"/>
        <v>0</v>
      </c>
      <c r="AU121" s="37">
        <f t="shared" si="18"/>
        <v>0</v>
      </c>
      <c r="AV121" s="37">
        <f t="shared" si="18"/>
        <v>12396.25</v>
      </c>
      <c r="AW121" s="37">
        <f t="shared" si="18"/>
        <v>53710</v>
      </c>
      <c r="AX121" s="37">
        <f t="shared" si="18"/>
        <v>0</v>
      </c>
      <c r="AY121" s="64">
        <f t="shared" si="13"/>
        <v>0</v>
      </c>
    </row>
    <row r="122" spans="1:51">
      <c r="A122" s="231">
        <v>2469</v>
      </c>
      <c r="B122" s="4">
        <v>103395</v>
      </c>
      <c r="C122" s="4" t="s">
        <v>726</v>
      </c>
      <c r="D122" s="4" t="s">
        <v>727</v>
      </c>
      <c r="E122" s="4" t="s">
        <v>5</v>
      </c>
      <c r="F122" s="232" t="s">
        <v>411</v>
      </c>
      <c r="H122" s="211">
        <v>7850</v>
      </c>
      <c r="I122" s="212">
        <v>0</v>
      </c>
      <c r="J122" s="212">
        <v>14814</v>
      </c>
      <c r="K122" s="211">
        <v>3515.63</v>
      </c>
      <c r="L122" s="211">
        <v>0</v>
      </c>
      <c r="M122" s="212">
        <v>12205</v>
      </c>
      <c r="N122" s="244">
        <v>0</v>
      </c>
      <c r="O122" s="212">
        <v>0</v>
      </c>
      <c r="P122" s="212">
        <v>0</v>
      </c>
      <c r="Q122" s="212">
        <v>14982</v>
      </c>
      <c r="R122" s="212">
        <v>49172</v>
      </c>
      <c r="S122" s="212">
        <v>4712.5</v>
      </c>
      <c r="T122" s="212">
        <v>0</v>
      </c>
      <c r="U122" s="212"/>
      <c r="V122" s="212">
        <v>0</v>
      </c>
      <c r="W122" s="212">
        <v>0</v>
      </c>
      <c r="X122" s="212">
        <v>20190</v>
      </c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29">
        <f t="shared" si="17"/>
        <v>127441.13</v>
      </c>
      <c r="AP122" s="37">
        <f t="shared" ref="AP122:AX131" si="19">SUMIF($H$3:$AM$3,AP$6,$H122:$AM122)</f>
        <v>27019</v>
      </c>
      <c r="AQ122" s="37">
        <f t="shared" si="19"/>
        <v>0</v>
      </c>
      <c r="AR122" s="37">
        <f t="shared" si="19"/>
        <v>49172</v>
      </c>
      <c r="AS122" s="37">
        <f t="shared" si="19"/>
        <v>0</v>
      </c>
      <c r="AT122" s="37">
        <f t="shared" si="19"/>
        <v>0</v>
      </c>
      <c r="AU122" s="37">
        <f t="shared" si="19"/>
        <v>0</v>
      </c>
      <c r="AV122" s="37">
        <f t="shared" si="19"/>
        <v>8228.130000000001</v>
      </c>
      <c r="AW122" s="37">
        <f t="shared" si="19"/>
        <v>43022</v>
      </c>
      <c r="AX122" s="37">
        <f t="shared" si="19"/>
        <v>0</v>
      </c>
      <c r="AY122" s="64">
        <f t="shared" si="13"/>
        <v>0</v>
      </c>
    </row>
    <row r="123" spans="1:51">
      <c r="A123" s="231">
        <v>3431</v>
      </c>
      <c r="B123" s="4">
        <v>134774</v>
      </c>
      <c r="C123" s="4" t="s">
        <v>729</v>
      </c>
      <c r="D123" s="4" t="s">
        <v>730</v>
      </c>
      <c r="E123" s="4" t="s">
        <v>5</v>
      </c>
      <c r="F123" s="232" t="s">
        <v>411</v>
      </c>
      <c r="H123" s="211">
        <v>8904</v>
      </c>
      <c r="I123" s="212">
        <v>0</v>
      </c>
      <c r="J123" s="212">
        <v>23745</v>
      </c>
      <c r="K123" s="211">
        <v>2868.75</v>
      </c>
      <c r="L123" s="211">
        <v>0</v>
      </c>
      <c r="M123" s="212">
        <v>19594</v>
      </c>
      <c r="N123" s="244">
        <v>0</v>
      </c>
      <c r="O123" s="212">
        <v>0</v>
      </c>
      <c r="P123" s="212">
        <v>0</v>
      </c>
      <c r="Q123" s="212">
        <v>46267</v>
      </c>
      <c r="R123" s="212">
        <v>43717</v>
      </c>
      <c r="S123" s="212">
        <v>4096.25</v>
      </c>
      <c r="T123" s="212">
        <v>0</v>
      </c>
      <c r="U123" s="212"/>
      <c r="V123" s="212">
        <v>0</v>
      </c>
      <c r="W123" s="212">
        <v>0</v>
      </c>
      <c r="X123" s="212">
        <v>60849</v>
      </c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29">
        <f t="shared" si="17"/>
        <v>210041</v>
      </c>
      <c r="AP123" s="37">
        <f t="shared" si="19"/>
        <v>43339</v>
      </c>
      <c r="AQ123" s="37">
        <f t="shared" si="19"/>
        <v>0</v>
      </c>
      <c r="AR123" s="37">
        <f t="shared" si="19"/>
        <v>43717</v>
      </c>
      <c r="AS123" s="37">
        <f t="shared" si="19"/>
        <v>0</v>
      </c>
      <c r="AT123" s="37">
        <f t="shared" si="19"/>
        <v>0</v>
      </c>
      <c r="AU123" s="37">
        <f t="shared" si="19"/>
        <v>0</v>
      </c>
      <c r="AV123" s="37">
        <f t="shared" si="19"/>
        <v>6965</v>
      </c>
      <c r="AW123" s="37">
        <f t="shared" si="19"/>
        <v>116020</v>
      </c>
      <c r="AX123" s="37">
        <f t="shared" si="19"/>
        <v>0</v>
      </c>
      <c r="AY123" s="64">
        <f t="shared" si="13"/>
        <v>0</v>
      </c>
    </row>
    <row r="124" spans="1:51">
      <c r="A124" s="231">
        <v>1028</v>
      </c>
      <c r="B124" s="4">
        <v>103141</v>
      </c>
      <c r="C124" s="4" t="s">
        <v>732</v>
      </c>
      <c r="D124" s="4" t="s">
        <v>733</v>
      </c>
      <c r="E124" s="4" t="s">
        <v>180</v>
      </c>
      <c r="F124" s="232" t="s">
        <v>411</v>
      </c>
      <c r="H124" s="211">
        <v>0</v>
      </c>
      <c r="I124" s="212">
        <v>0</v>
      </c>
      <c r="J124" s="212">
        <v>0</v>
      </c>
      <c r="K124" s="211">
        <v>0</v>
      </c>
      <c r="L124" s="211">
        <v>0</v>
      </c>
      <c r="M124" s="212">
        <v>0</v>
      </c>
      <c r="N124" s="244">
        <v>0</v>
      </c>
      <c r="O124" s="212">
        <v>0</v>
      </c>
      <c r="P124" s="212">
        <v>0</v>
      </c>
      <c r="Q124" s="212">
        <v>0</v>
      </c>
      <c r="R124" s="212">
        <v>0</v>
      </c>
      <c r="S124" s="212">
        <v>0</v>
      </c>
      <c r="T124" s="212">
        <v>200</v>
      </c>
      <c r="U124" s="212"/>
      <c r="V124" s="212">
        <v>0</v>
      </c>
      <c r="W124" s="212">
        <v>0</v>
      </c>
      <c r="X124" s="212">
        <v>0</v>
      </c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29">
        <f t="shared" si="17"/>
        <v>200</v>
      </c>
      <c r="AP124" s="37">
        <f t="shared" si="19"/>
        <v>0</v>
      </c>
      <c r="AQ124" s="37">
        <f t="shared" si="19"/>
        <v>0</v>
      </c>
      <c r="AR124" s="37">
        <f t="shared" si="19"/>
        <v>0</v>
      </c>
      <c r="AS124" s="37">
        <f t="shared" si="19"/>
        <v>200</v>
      </c>
      <c r="AT124" s="37">
        <f t="shared" si="19"/>
        <v>0</v>
      </c>
      <c r="AU124" s="37">
        <f t="shared" si="19"/>
        <v>0</v>
      </c>
      <c r="AV124" s="37">
        <f t="shared" si="19"/>
        <v>0</v>
      </c>
      <c r="AW124" s="37">
        <f t="shared" si="19"/>
        <v>0</v>
      </c>
      <c r="AX124" s="37">
        <f t="shared" si="19"/>
        <v>0</v>
      </c>
      <c r="AY124" s="64">
        <f t="shared" si="13"/>
        <v>0</v>
      </c>
    </row>
    <row r="125" spans="1:51">
      <c r="A125" s="231">
        <v>1049</v>
      </c>
      <c r="B125" s="4">
        <v>103145</v>
      </c>
      <c r="C125" s="4" t="s">
        <v>735</v>
      </c>
      <c r="D125" s="4" t="s">
        <v>736</v>
      </c>
      <c r="E125" s="4" t="s">
        <v>180</v>
      </c>
      <c r="F125" s="232" t="s">
        <v>411</v>
      </c>
      <c r="H125" s="211">
        <v>0</v>
      </c>
      <c r="I125" s="212">
        <v>0</v>
      </c>
      <c r="J125" s="212">
        <v>0</v>
      </c>
      <c r="K125" s="211">
        <v>0</v>
      </c>
      <c r="L125" s="211">
        <v>0</v>
      </c>
      <c r="M125" s="212">
        <v>0</v>
      </c>
      <c r="N125" s="244">
        <v>0</v>
      </c>
      <c r="O125" s="212">
        <v>0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/>
      <c r="V125" s="212">
        <v>0</v>
      </c>
      <c r="W125" s="212">
        <v>0</v>
      </c>
      <c r="X125" s="212">
        <v>0</v>
      </c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29">
        <f t="shared" si="17"/>
        <v>0</v>
      </c>
      <c r="AP125" s="37">
        <f t="shared" si="19"/>
        <v>0</v>
      </c>
      <c r="AQ125" s="37">
        <f t="shared" si="19"/>
        <v>0</v>
      </c>
      <c r="AR125" s="37">
        <f t="shared" si="19"/>
        <v>0</v>
      </c>
      <c r="AS125" s="37">
        <f t="shared" si="19"/>
        <v>0</v>
      </c>
      <c r="AT125" s="37">
        <f t="shared" si="19"/>
        <v>0</v>
      </c>
      <c r="AU125" s="37">
        <f t="shared" si="19"/>
        <v>0</v>
      </c>
      <c r="AV125" s="37">
        <f t="shared" si="19"/>
        <v>0</v>
      </c>
      <c r="AW125" s="37">
        <f t="shared" si="19"/>
        <v>0</v>
      </c>
      <c r="AX125" s="37">
        <f t="shared" si="19"/>
        <v>0</v>
      </c>
      <c r="AY125" s="64">
        <f t="shared" si="13"/>
        <v>0</v>
      </c>
    </row>
    <row r="126" spans="1:51">
      <c r="A126" s="231">
        <v>2149</v>
      </c>
      <c r="B126" s="4">
        <v>103240</v>
      </c>
      <c r="C126" s="4" t="s">
        <v>738</v>
      </c>
      <c r="D126" s="4" t="s">
        <v>739</v>
      </c>
      <c r="E126" s="4" t="s">
        <v>5</v>
      </c>
      <c r="F126" s="232" t="s">
        <v>411</v>
      </c>
      <c r="H126" s="211">
        <v>8075</v>
      </c>
      <c r="I126" s="212">
        <v>0</v>
      </c>
      <c r="J126" s="212">
        <v>17289</v>
      </c>
      <c r="K126" s="211">
        <v>5070.3100000000004</v>
      </c>
      <c r="L126" s="211">
        <v>0</v>
      </c>
      <c r="M126" s="212">
        <v>14239</v>
      </c>
      <c r="N126" s="244">
        <v>0</v>
      </c>
      <c r="O126" s="212">
        <v>0</v>
      </c>
      <c r="P126" s="212">
        <v>0</v>
      </c>
      <c r="Q126" s="212">
        <v>17625</v>
      </c>
      <c r="R126" s="212">
        <v>27043</v>
      </c>
      <c r="S126" s="212">
        <v>0</v>
      </c>
      <c r="T126" s="212">
        <v>0</v>
      </c>
      <c r="U126" s="212"/>
      <c r="V126" s="212">
        <v>0</v>
      </c>
      <c r="W126" s="212">
        <v>1799</v>
      </c>
      <c r="X126" s="212">
        <v>22714</v>
      </c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29">
        <f t="shared" si="17"/>
        <v>113854.31</v>
      </c>
      <c r="AP126" s="37">
        <f t="shared" si="19"/>
        <v>33327</v>
      </c>
      <c r="AQ126" s="37">
        <f t="shared" si="19"/>
        <v>0</v>
      </c>
      <c r="AR126" s="37">
        <f t="shared" si="19"/>
        <v>27043</v>
      </c>
      <c r="AS126" s="37">
        <f t="shared" si="19"/>
        <v>0</v>
      </c>
      <c r="AT126" s="37">
        <f t="shared" si="19"/>
        <v>0</v>
      </c>
      <c r="AU126" s="37">
        <f t="shared" si="19"/>
        <v>0</v>
      </c>
      <c r="AV126" s="37">
        <f t="shared" si="19"/>
        <v>5070.3100000000004</v>
      </c>
      <c r="AW126" s="37">
        <f t="shared" si="19"/>
        <v>48414</v>
      </c>
      <c r="AX126" s="37">
        <f t="shared" si="19"/>
        <v>0</v>
      </c>
      <c r="AY126" s="64">
        <f t="shared" si="13"/>
        <v>0</v>
      </c>
    </row>
    <row r="127" spans="1:51">
      <c r="A127" s="231">
        <v>2150</v>
      </c>
      <c r="B127" s="4">
        <v>103241</v>
      </c>
      <c r="C127" s="4" t="s">
        <v>741</v>
      </c>
      <c r="D127" s="4" t="s">
        <v>742</v>
      </c>
      <c r="E127" s="4" t="s">
        <v>5</v>
      </c>
      <c r="F127" s="232" t="s">
        <v>411</v>
      </c>
      <c r="H127" s="211">
        <v>7875</v>
      </c>
      <c r="I127" s="212">
        <v>0</v>
      </c>
      <c r="J127" s="212">
        <v>13070</v>
      </c>
      <c r="K127" s="211">
        <v>3543.75</v>
      </c>
      <c r="L127" s="211">
        <v>0</v>
      </c>
      <c r="M127" s="212">
        <v>10764</v>
      </c>
      <c r="N127" s="244">
        <v>0</v>
      </c>
      <c r="O127" s="212">
        <v>0</v>
      </c>
      <c r="P127" s="212">
        <v>0</v>
      </c>
      <c r="Q127" s="212">
        <v>5729</v>
      </c>
      <c r="R127" s="212">
        <v>46522</v>
      </c>
      <c r="S127" s="212">
        <v>5313</v>
      </c>
      <c r="T127" s="212">
        <v>0</v>
      </c>
      <c r="U127" s="212"/>
      <c r="V127" s="212">
        <v>0</v>
      </c>
      <c r="W127" s="212">
        <v>0</v>
      </c>
      <c r="X127" s="212">
        <v>13320</v>
      </c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29">
        <f t="shared" si="17"/>
        <v>106136.75</v>
      </c>
      <c r="AP127" s="37">
        <f t="shared" si="19"/>
        <v>23834</v>
      </c>
      <c r="AQ127" s="37">
        <f t="shared" si="19"/>
        <v>0</v>
      </c>
      <c r="AR127" s="37">
        <f t="shared" si="19"/>
        <v>46522</v>
      </c>
      <c r="AS127" s="37">
        <f t="shared" si="19"/>
        <v>0</v>
      </c>
      <c r="AT127" s="37">
        <f t="shared" si="19"/>
        <v>0</v>
      </c>
      <c r="AU127" s="37">
        <f t="shared" si="19"/>
        <v>0</v>
      </c>
      <c r="AV127" s="37">
        <f t="shared" si="19"/>
        <v>8856.75</v>
      </c>
      <c r="AW127" s="37">
        <f t="shared" si="19"/>
        <v>26924</v>
      </c>
      <c r="AX127" s="37">
        <f t="shared" si="19"/>
        <v>0</v>
      </c>
      <c r="AY127" s="64">
        <f t="shared" si="13"/>
        <v>0</v>
      </c>
    </row>
    <row r="128" spans="1:51">
      <c r="A128" s="231">
        <v>2425</v>
      </c>
      <c r="B128" s="4">
        <v>103356</v>
      </c>
      <c r="C128" s="4" t="s">
        <v>744</v>
      </c>
      <c r="D128" s="4" t="s">
        <v>745</v>
      </c>
      <c r="E128" s="4" t="s">
        <v>5</v>
      </c>
      <c r="F128" s="232" t="s">
        <v>411</v>
      </c>
      <c r="H128" s="211">
        <v>7421</v>
      </c>
      <c r="I128" s="212">
        <v>0</v>
      </c>
      <c r="J128" s="212">
        <v>8494</v>
      </c>
      <c r="K128" s="211">
        <v>871.88</v>
      </c>
      <c r="L128" s="211">
        <v>0</v>
      </c>
      <c r="M128" s="212">
        <v>7010</v>
      </c>
      <c r="N128" s="244">
        <v>0</v>
      </c>
      <c r="O128" s="212">
        <v>0</v>
      </c>
      <c r="P128" s="212">
        <v>0</v>
      </c>
      <c r="Q128" s="212">
        <v>14380</v>
      </c>
      <c r="R128" s="212">
        <v>12190</v>
      </c>
      <c r="S128" s="212">
        <v>1087.5</v>
      </c>
      <c r="T128" s="212">
        <v>0</v>
      </c>
      <c r="U128" s="212"/>
      <c r="V128" s="212">
        <v>0</v>
      </c>
      <c r="W128" s="212">
        <v>0</v>
      </c>
      <c r="X128" s="212">
        <v>22293</v>
      </c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29">
        <f t="shared" si="17"/>
        <v>73747.38</v>
      </c>
      <c r="AP128" s="37">
        <f t="shared" si="19"/>
        <v>15504</v>
      </c>
      <c r="AQ128" s="37">
        <f t="shared" si="19"/>
        <v>0</v>
      </c>
      <c r="AR128" s="37">
        <f t="shared" si="19"/>
        <v>12190</v>
      </c>
      <c r="AS128" s="37">
        <f t="shared" si="19"/>
        <v>0</v>
      </c>
      <c r="AT128" s="37">
        <f t="shared" si="19"/>
        <v>0</v>
      </c>
      <c r="AU128" s="37">
        <f t="shared" si="19"/>
        <v>0</v>
      </c>
      <c r="AV128" s="37">
        <f t="shared" si="19"/>
        <v>1959.38</v>
      </c>
      <c r="AW128" s="37">
        <f t="shared" si="19"/>
        <v>44094</v>
      </c>
      <c r="AX128" s="37">
        <f t="shared" si="19"/>
        <v>0</v>
      </c>
      <c r="AY128" s="64">
        <f t="shared" si="13"/>
        <v>0</v>
      </c>
    </row>
    <row r="129" spans="1:51">
      <c r="A129" s="231">
        <v>1008</v>
      </c>
      <c r="B129" s="4">
        <v>103123</v>
      </c>
      <c r="C129" s="4" t="s">
        <v>747</v>
      </c>
      <c r="D129" s="4" t="s">
        <v>748</v>
      </c>
      <c r="E129" s="4" t="s">
        <v>180</v>
      </c>
      <c r="F129" s="232" t="s">
        <v>411</v>
      </c>
      <c r="H129" s="211">
        <v>0</v>
      </c>
      <c r="I129" s="212">
        <v>0</v>
      </c>
      <c r="J129" s="212">
        <v>0</v>
      </c>
      <c r="K129" s="211">
        <v>0</v>
      </c>
      <c r="L129" s="211">
        <v>0</v>
      </c>
      <c r="M129" s="212">
        <v>0</v>
      </c>
      <c r="N129" s="244">
        <v>0</v>
      </c>
      <c r="O129" s="212">
        <v>0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/>
      <c r="V129" s="212">
        <v>0</v>
      </c>
      <c r="W129" s="212">
        <v>0</v>
      </c>
      <c r="X129" s="212">
        <v>0</v>
      </c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29">
        <f t="shared" si="17"/>
        <v>0</v>
      </c>
      <c r="AP129" s="37">
        <f t="shared" si="19"/>
        <v>0</v>
      </c>
      <c r="AQ129" s="37">
        <f t="shared" si="19"/>
        <v>0</v>
      </c>
      <c r="AR129" s="37">
        <f t="shared" si="19"/>
        <v>0</v>
      </c>
      <c r="AS129" s="37">
        <f t="shared" si="19"/>
        <v>0</v>
      </c>
      <c r="AT129" s="37">
        <f t="shared" si="19"/>
        <v>0</v>
      </c>
      <c r="AU129" s="37">
        <f t="shared" si="19"/>
        <v>0</v>
      </c>
      <c r="AV129" s="37">
        <f t="shared" si="19"/>
        <v>0</v>
      </c>
      <c r="AW129" s="37">
        <f t="shared" si="19"/>
        <v>0</v>
      </c>
      <c r="AX129" s="37">
        <f t="shared" si="19"/>
        <v>0</v>
      </c>
      <c r="AY129" s="64">
        <f t="shared" si="13"/>
        <v>0</v>
      </c>
    </row>
    <row r="130" spans="1:51">
      <c r="A130" s="231">
        <v>7034</v>
      </c>
      <c r="B130" s="4">
        <v>103614</v>
      </c>
      <c r="C130" s="4" t="s">
        <v>750</v>
      </c>
      <c r="D130" s="4" t="s">
        <v>751</v>
      </c>
      <c r="E130" s="4" t="s">
        <v>1093</v>
      </c>
      <c r="F130" s="232" t="s">
        <v>411</v>
      </c>
      <c r="H130" s="211">
        <v>6783</v>
      </c>
      <c r="I130" s="212">
        <v>53832.91</v>
      </c>
      <c r="J130" s="212">
        <v>0</v>
      </c>
      <c r="K130" s="211">
        <v>2643.75</v>
      </c>
      <c r="L130" s="211">
        <v>0</v>
      </c>
      <c r="M130" s="212">
        <v>0</v>
      </c>
      <c r="N130" s="244">
        <v>0</v>
      </c>
      <c r="O130" s="212">
        <v>0</v>
      </c>
      <c r="P130" s="212">
        <v>0</v>
      </c>
      <c r="Q130" s="212">
        <v>961</v>
      </c>
      <c r="R130" s="212">
        <v>10120</v>
      </c>
      <c r="S130" s="212">
        <v>7622.5</v>
      </c>
      <c r="T130" s="212">
        <v>0</v>
      </c>
      <c r="U130" s="212"/>
      <c r="V130" s="212">
        <v>40352.06</v>
      </c>
      <c r="W130" s="212">
        <v>0</v>
      </c>
      <c r="X130" s="212">
        <v>1543</v>
      </c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29">
        <f t="shared" si="17"/>
        <v>123858.22</v>
      </c>
      <c r="AP130" s="37">
        <f t="shared" si="19"/>
        <v>94184.97</v>
      </c>
      <c r="AQ130" s="37">
        <f t="shared" si="19"/>
        <v>0</v>
      </c>
      <c r="AR130" s="37">
        <f t="shared" si="19"/>
        <v>10120</v>
      </c>
      <c r="AS130" s="37">
        <f t="shared" si="19"/>
        <v>0</v>
      </c>
      <c r="AT130" s="37">
        <f t="shared" si="19"/>
        <v>0</v>
      </c>
      <c r="AU130" s="37">
        <f t="shared" si="19"/>
        <v>0</v>
      </c>
      <c r="AV130" s="37">
        <f t="shared" si="19"/>
        <v>10266.25</v>
      </c>
      <c r="AW130" s="37">
        <f t="shared" si="19"/>
        <v>9287</v>
      </c>
      <c r="AX130" s="37">
        <f t="shared" si="19"/>
        <v>0</v>
      </c>
      <c r="AY130" s="64">
        <f t="shared" si="13"/>
        <v>0</v>
      </c>
    </row>
    <row r="131" spans="1:51">
      <c r="A131" s="231">
        <v>2157</v>
      </c>
      <c r="B131" s="4">
        <v>103246</v>
      </c>
      <c r="C131" s="4" t="s">
        <v>753</v>
      </c>
      <c r="D131" s="4" t="s">
        <v>754</v>
      </c>
      <c r="E131" s="4" t="s">
        <v>5</v>
      </c>
      <c r="F131" s="232" t="s">
        <v>411</v>
      </c>
      <c r="H131" s="211">
        <v>8108</v>
      </c>
      <c r="I131" s="212">
        <v>0</v>
      </c>
      <c r="J131" s="212">
        <v>15380</v>
      </c>
      <c r="K131" s="211">
        <v>2728.13</v>
      </c>
      <c r="L131" s="211">
        <v>0</v>
      </c>
      <c r="M131" s="212">
        <v>12685</v>
      </c>
      <c r="N131" s="244">
        <v>0</v>
      </c>
      <c r="O131" s="212">
        <v>0</v>
      </c>
      <c r="P131" s="212">
        <v>0</v>
      </c>
      <c r="Q131" s="212">
        <v>19849</v>
      </c>
      <c r="R131" s="212">
        <v>33657</v>
      </c>
      <c r="S131" s="212">
        <v>3964.5</v>
      </c>
      <c r="T131" s="212">
        <v>0</v>
      </c>
      <c r="U131" s="212"/>
      <c r="V131" s="212">
        <v>0</v>
      </c>
      <c r="W131" s="212">
        <v>0</v>
      </c>
      <c r="X131" s="212">
        <v>33089</v>
      </c>
      <c r="Y131" s="212"/>
      <c r="Z131" s="212"/>
      <c r="AA131" s="212"/>
      <c r="AB131" s="212"/>
      <c r="AC131" s="212"/>
      <c r="AD131" s="212"/>
      <c r="AE131" s="212"/>
      <c r="AF131" s="212"/>
      <c r="AG131" s="212"/>
      <c r="AH131" s="212"/>
      <c r="AI131" s="212"/>
      <c r="AJ131" s="212"/>
      <c r="AK131" s="212"/>
      <c r="AL131" s="212"/>
      <c r="AM131" s="212"/>
      <c r="AN131" s="229">
        <f t="shared" si="17"/>
        <v>129460.63</v>
      </c>
      <c r="AP131" s="37">
        <f t="shared" si="19"/>
        <v>28065</v>
      </c>
      <c r="AQ131" s="37">
        <f t="shared" si="19"/>
        <v>0</v>
      </c>
      <c r="AR131" s="37">
        <f t="shared" si="19"/>
        <v>33657</v>
      </c>
      <c r="AS131" s="37">
        <f t="shared" si="19"/>
        <v>0</v>
      </c>
      <c r="AT131" s="37">
        <f t="shared" si="19"/>
        <v>0</v>
      </c>
      <c r="AU131" s="37">
        <f t="shared" si="19"/>
        <v>0</v>
      </c>
      <c r="AV131" s="37">
        <f t="shared" si="19"/>
        <v>6692.63</v>
      </c>
      <c r="AW131" s="37">
        <f t="shared" si="19"/>
        <v>61046</v>
      </c>
      <c r="AX131" s="37">
        <f t="shared" si="19"/>
        <v>0</v>
      </c>
      <c r="AY131" s="64">
        <f t="shared" si="13"/>
        <v>0</v>
      </c>
    </row>
    <row r="132" spans="1:51">
      <c r="A132" s="231">
        <v>2159</v>
      </c>
      <c r="B132" s="4">
        <v>103247</v>
      </c>
      <c r="C132" s="4" t="s">
        <v>756</v>
      </c>
      <c r="D132" s="4" t="s">
        <v>757</v>
      </c>
      <c r="E132" s="4" t="s">
        <v>5</v>
      </c>
      <c r="F132" s="232" t="s">
        <v>411</v>
      </c>
      <c r="H132" s="211">
        <v>7392</v>
      </c>
      <c r="I132" s="212">
        <v>0</v>
      </c>
      <c r="J132" s="212">
        <v>10033</v>
      </c>
      <c r="K132" s="211">
        <v>2306.25</v>
      </c>
      <c r="L132" s="211">
        <v>0</v>
      </c>
      <c r="M132" s="212">
        <v>8262</v>
      </c>
      <c r="N132" s="244">
        <v>0</v>
      </c>
      <c r="O132" s="212">
        <v>0</v>
      </c>
      <c r="P132" s="212">
        <v>0</v>
      </c>
      <c r="Q132" s="212">
        <v>9954</v>
      </c>
      <c r="R132" s="212">
        <v>34410</v>
      </c>
      <c r="S132" s="212">
        <v>3371.25</v>
      </c>
      <c r="T132" s="212">
        <v>0</v>
      </c>
      <c r="U132" s="212"/>
      <c r="V132" s="212">
        <v>0</v>
      </c>
      <c r="W132" s="212">
        <v>0</v>
      </c>
      <c r="X132" s="212">
        <v>13741</v>
      </c>
      <c r="Y132" s="212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2"/>
      <c r="AK132" s="212"/>
      <c r="AL132" s="212"/>
      <c r="AM132" s="212"/>
      <c r="AN132" s="229">
        <f t="shared" si="17"/>
        <v>89469.5</v>
      </c>
      <c r="AP132" s="37">
        <f t="shared" ref="AP132:AX141" si="20">SUMIF($H$3:$AM$3,AP$6,$H132:$AM132)</f>
        <v>18295</v>
      </c>
      <c r="AQ132" s="37">
        <f t="shared" si="20"/>
        <v>0</v>
      </c>
      <c r="AR132" s="37">
        <f t="shared" si="20"/>
        <v>34410</v>
      </c>
      <c r="AS132" s="37">
        <f t="shared" si="20"/>
        <v>0</v>
      </c>
      <c r="AT132" s="37">
        <f t="shared" si="20"/>
        <v>0</v>
      </c>
      <c r="AU132" s="37">
        <f t="shared" si="20"/>
        <v>0</v>
      </c>
      <c r="AV132" s="37">
        <f t="shared" si="20"/>
        <v>5677.5</v>
      </c>
      <c r="AW132" s="37">
        <f t="shared" si="20"/>
        <v>31087</v>
      </c>
      <c r="AX132" s="37">
        <f t="shared" si="20"/>
        <v>0</v>
      </c>
      <c r="AY132" s="64">
        <f t="shared" si="13"/>
        <v>0</v>
      </c>
    </row>
    <row r="133" spans="1:51">
      <c r="A133" s="231">
        <v>2161</v>
      </c>
      <c r="B133" s="4">
        <v>103249</v>
      </c>
      <c r="C133" s="4" t="s">
        <v>759</v>
      </c>
      <c r="D133" s="4" t="s">
        <v>760</v>
      </c>
      <c r="E133" s="4" t="s">
        <v>5</v>
      </c>
      <c r="F133" s="232" t="s">
        <v>411</v>
      </c>
      <c r="H133" s="211">
        <v>7375</v>
      </c>
      <c r="I133" s="212">
        <v>0</v>
      </c>
      <c r="J133" s="212">
        <v>12265</v>
      </c>
      <c r="K133" s="211">
        <v>2418.75</v>
      </c>
      <c r="L133" s="211">
        <v>0</v>
      </c>
      <c r="M133" s="212">
        <v>10102</v>
      </c>
      <c r="N133" s="244">
        <v>0</v>
      </c>
      <c r="O133" s="212">
        <v>0</v>
      </c>
      <c r="P133" s="212">
        <v>0</v>
      </c>
      <c r="Q133" s="212">
        <v>31987</v>
      </c>
      <c r="R133" s="212">
        <v>42180</v>
      </c>
      <c r="S133" s="212">
        <v>4132.5</v>
      </c>
      <c r="T133" s="212">
        <v>0</v>
      </c>
      <c r="U133" s="212"/>
      <c r="V133" s="212">
        <v>0</v>
      </c>
      <c r="W133" s="212">
        <v>0</v>
      </c>
      <c r="X133" s="212">
        <v>39679</v>
      </c>
      <c r="Y133" s="212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2"/>
      <c r="AK133" s="212"/>
      <c r="AL133" s="212"/>
      <c r="AM133" s="212"/>
      <c r="AN133" s="229">
        <f t="shared" si="17"/>
        <v>150139.25</v>
      </c>
      <c r="AP133" s="37">
        <f t="shared" si="20"/>
        <v>22367</v>
      </c>
      <c r="AQ133" s="37">
        <f t="shared" si="20"/>
        <v>0</v>
      </c>
      <c r="AR133" s="37">
        <f t="shared" si="20"/>
        <v>42180</v>
      </c>
      <c r="AS133" s="37">
        <f t="shared" si="20"/>
        <v>0</v>
      </c>
      <c r="AT133" s="37">
        <f t="shared" si="20"/>
        <v>0</v>
      </c>
      <c r="AU133" s="37">
        <f t="shared" si="20"/>
        <v>0</v>
      </c>
      <c r="AV133" s="37">
        <f t="shared" si="20"/>
        <v>6551.25</v>
      </c>
      <c r="AW133" s="37">
        <f t="shared" si="20"/>
        <v>79041</v>
      </c>
      <c r="AX133" s="37">
        <f t="shared" si="20"/>
        <v>0</v>
      </c>
      <c r="AY133" s="64">
        <f t="shared" si="13"/>
        <v>0</v>
      </c>
    </row>
    <row r="134" spans="1:51">
      <c r="A134" s="231">
        <v>1018</v>
      </c>
      <c r="B134" s="4">
        <v>103131</v>
      </c>
      <c r="C134" s="4" t="s">
        <v>762</v>
      </c>
      <c r="D134" s="4" t="s">
        <v>763</v>
      </c>
      <c r="E134" s="4" t="s">
        <v>180</v>
      </c>
      <c r="F134" s="232" t="s">
        <v>411</v>
      </c>
      <c r="H134" s="211">
        <v>0</v>
      </c>
      <c r="I134" s="212">
        <v>0</v>
      </c>
      <c r="J134" s="212">
        <v>0</v>
      </c>
      <c r="K134" s="211">
        <v>0</v>
      </c>
      <c r="L134" s="211">
        <v>0</v>
      </c>
      <c r="M134" s="212">
        <v>0</v>
      </c>
      <c r="N134" s="244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/>
      <c r="V134" s="212">
        <v>0</v>
      </c>
      <c r="W134" s="212">
        <v>0</v>
      </c>
      <c r="X134" s="212">
        <v>0</v>
      </c>
      <c r="Y134" s="212"/>
      <c r="Z134" s="212"/>
      <c r="AA134" s="212"/>
      <c r="AB134" s="212"/>
      <c r="AC134" s="212"/>
      <c r="AD134" s="212"/>
      <c r="AE134" s="212"/>
      <c r="AF134" s="212"/>
      <c r="AG134" s="212"/>
      <c r="AH134" s="212"/>
      <c r="AI134" s="212"/>
      <c r="AJ134" s="212"/>
      <c r="AK134" s="212"/>
      <c r="AL134" s="212"/>
      <c r="AM134" s="212"/>
      <c r="AN134" s="229">
        <f t="shared" si="17"/>
        <v>0</v>
      </c>
      <c r="AP134" s="37">
        <f t="shared" si="20"/>
        <v>0</v>
      </c>
      <c r="AQ134" s="37">
        <f t="shared" si="20"/>
        <v>0</v>
      </c>
      <c r="AR134" s="37">
        <f t="shared" si="20"/>
        <v>0</v>
      </c>
      <c r="AS134" s="37">
        <f t="shared" si="20"/>
        <v>0</v>
      </c>
      <c r="AT134" s="37">
        <f t="shared" si="20"/>
        <v>0</v>
      </c>
      <c r="AU134" s="37">
        <f t="shared" si="20"/>
        <v>0</v>
      </c>
      <c r="AV134" s="37">
        <f t="shared" si="20"/>
        <v>0</v>
      </c>
      <c r="AW134" s="37">
        <f t="shared" si="20"/>
        <v>0</v>
      </c>
      <c r="AX134" s="37">
        <f t="shared" si="20"/>
        <v>0</v>
      </c>
      <c r="AY134" s="64">
        <f t="shared" si="13"/>
        <v>0</v>
      </c>
    </row>
    <row r="135" spans="1:51">
      <c r="A135" s="231">
        <v>1000</v>
      </c>
      <c r="B135" s="4">
        <v>137796</v>
      </c>
      <c r="C135" s="4" t="s">
        <v>765</v>
      </c>
      <c r="D135" s="4" t="s">
        <v>766</v>
      </c>
      <c r="E135" s="4" t="s">
        <v>180</v>
      </c>
      <c r="F135" s="232" t="s">
        <v>411</v>
      </c>
      <c r="H135" s="211">
        <v>0</v>
      </c>
      <c r="I135" s="212">
        <v>0</v>
      </c>
      <c r="J135" s="212">
        <v>0</v>
      </c>
      <c r="K135" s="211">
        <v>0</v>
      </c>
      <c r="L135" s="211">
        <v>0</v>
      </c>
      <c r="M135" s="212">
        <v>0</v>
      </c>
      <c r="N135" s="244">
        <v>0</v>
      </c>
      <c r="O135" s="212">
        <v>0</v>
      </c>
      <c r="P135" s="212">
        <v>0</v>
      </c>
      <c r="Q135" s="212">
        <v>0</v>
      </c>
      <c r="R135" s="212">
        <v>0</v>
      </c>
      <c r="S135" s="212">
        <v>0</v>
      </c>
      <c r="T135" s="212">
        <v>0</v>
      </c>
      <c r="U135" s="212"/>
      <c r="V135" s="212">
        <v>0</v>
      </c>
      <c r="W135" s="212">
        <v>0</v>
      </c>
      <c r="X135" s="212">
        <v>0</v>
      </c>
      <c r="Y135" s="212"/>
      <c r="Z135" s="212"/>
      <c r="AA135" s="212"/>
      <c r="AB135" s="212"/>
      <c r="AC135" s="212"/>
      <c r="AD135" s="212"/>
      <c r="AE135" s="212"/>
      <c r="AF135" s="212"/>
      <c r="AG135" s="212"/>
      <c r="AH135" s="212"/>
      <c r="AI135" s="212"/>
      <c r="AJ135" s="212"/>
      <c r="AK135" s="212"/>
      <c r="AL135" s="212"/>
      <c r="AM135" s="212"/>
      <c r="AN135" s="229">
        <f t="shared" si="17"/>
        <v>0</v>
      </c>
      <c r="AP135" s="37">
        <f t="shared" si="20"/>
        <v>0</v>
      </c>
      <c r="AQ135" s="37">
        <f t="shared" si="20"/>
        <v>0</v>
      </c>
      <c r="AR135" s="37">
        <f t="shared" si="20"/>
        <v>0</v>
      </c>
      <c r="AS135" s="37">
        <f t="shared" si="20"/>
        <v>0</v>
      </c>
      <c r="AT135" s="37">
        <f t="shared" si="20"/>
        <v>0</v>
      </c>
      <c r="AU135" s="37">
        <f t="shared" si="20"/>
        <v>0</v>
      </c>
      <c r="AV135" s="37">
        <f t="shared" si="20"/>
        <v>0</v>
      </c>
      <c r="AW135" s="37">
        <f t="shared" si="20"/>
        <v>0</v>
      </c>
      <c r="AX135" s="37">
        <f t="shared" si="20"/>
        <v>0</v>
      </c>
      <c r="AY135" s="64">
        <f t="shared" si="13"/>
        <v>0</v>
      </c>
    </row>
    <row r="136" spans="1:51">
      <c r="A136" s="231">
        <v>2169</v>
      </c>
      <c r="B136" s="4">
        <v>103252</v>
      </c>
      <c r="C136" s="4" t="s">
        <v>768</v>
      </c>
      <c r="D136" s="4" t="s">
        <v>769</v>
      </c>
      <c r="E136" s="4" t="s">
        <v>5</v>
      </c>
      <c r="F136" s="232" t="s">
        <v>411</v>
      </c>
      <c r="H136" s="211">
        <v>8062</v>
      </c>
      <c r="I136" s="212">
        <v>0</v>
      </c>
      <c r="J136" s="212">
        <v>19405</v>
      </c>
      <c r="K136" s="211">
        <v>5765.63</v>
      </c>
      <c r="L136" s="211">
        <v>0</v>
      </c>
      <c r="M136" s="212">
        <v>15969</v>
      </c>
      <c r="N136" s="244">
        <v>0</v>
      </c>
      <c r="O136" s="212">
        <v>0</v>
      </c>
      <c r="P136" s="212">
        <v>0</v>
      </c>
      <c r="Q136" s="212">
        <v>10315</v>
      </c>
      <c r="R136" s="212">
        <v>84730</v>
      </c>
      <c r="S136" s="212">
        <v>8301.25</v>
      </c>
      <c r="T136" s="212">
        <v>0</v>
      </c>
      <c r="U136" s="212"/>
      <c r="V136" s="212">
        <v>0</v>
      </c>
      <c r="W136" s="212">
        <v>3598</v>
      </c>
      <c r="X136" s="212">
        <v>12479</v>
      </c>
      <c r="Y136" s="212"/>
      <c r="Z136" s="212"/>
      <c r="AA136" s="212"/>
      <c r="AB136" s="212"/>
      <c r="AC136" s="212"/>
      <c r="AD136" s="212"/>
      <c r="AE136" s="212"/>
      <c r="AF136" s="212"/>
      <c r="AG136" s="212"/>
      <c r="AH136" s="212"/>
      <c r="AI136" s="212"/>
      <c r="AJ136" s="212"/>
      <c r="AK136" s="212"/>
      <c r="AL136" s="212"/>
      <c r="AM136" s="212"/>
      <c r="AN136" s="229">
        <f t="shared" ref="AN136:AN167" si="21">SUM(H136:AM136)</f>
        <v>168624.88</v>
      </c>
      <c r="AP136" s="37">
        <f t="shared" si="20"/>
        <v>38972</v>
      </c>
      <c r="AQ136" s="37">
        <f t="shared" si="20"/>
        <v>0</v>
      </c>
      <c r="AR136" s="37">
        <f t="shared" si="20"/>
        <v>84730</v>
      </c>
      <c r="AS136" s="37">
        <f t="shared" si="20"/>
        <v>0</v>
      </c>
      <c r="AT136" s="37">
        <f t="shared" si="20"/>
        <v>0</v>
      </c>
      <c r="AU136" s="37">
        <f t="shared" si="20"/>
        <v>0</v>
      </c>
      <c r="AV136" s="37">
        <f t="shared" si="20"/>
        <v>14066.880000000001</v>
      </c>
      <c r="AW136" s="37">
        <f t="shared" si="20"/>
        <v>30856</v>
      </c>
      <c r="AX136" s="37">
        <f t="shared" si="20"/>
        <v>0</v>
      </c>
      <c r="AY136" s="64">
        <f t="shared" si="13"/>
        <v>0</v>
      </c>
    </row>
    <row r="137" spans="1:51">
      <c r="A137" s="231">
        <v>7047</v>
      </c>
      <c r="B137" s="4">
        <v>103623</v>
      </c>
      <c r="C137" s="4" t="s">
        <v>771</v>
      </c>
      <c r="D137" s="4" t="s">
        <v>772</v>
      </c>
      <c r="E137" s="4" t="s">
        <v>1093</v>
      </c>
      <c r="F137" s="232" t="s">
        <v>411</v>
      </c>
      <c r="H137" s="211">
        <v>7021</v>
      </c>
      <c r="I137" s="212">
        <v>53832.91</v>
      </c>
      <c r="J137" s="212">
        <v>0</v>
      </c>
      <c r="K137" s="211">
        <v>3892.19</v>
      </c>
      <c r="L137" s="211">
        <v>0</v>
      </c>
      <c r="M137" s="212">
        <v>0</v>
      </c>
      <c r="N137" s="244">
        <v>0</v>
      </c>
      <c r="O137" s="212">
        <v>0</v>
      </c>
      <c r="P137" s="212">
        <v>0</v>
      </c>
      <c r="Q137" s="212">
        <v>1122</v>
      </c>
      <c r="R137" s="212">
        <v>25030</v>
      </c>
      <c r="S137" s="212">
        <v>6670</v>
      </c>
      <c r="T137" s="212">
        <v>0</v>
      </c>
      <c r="U137" s="212"/>
      <c r="V137" s="212">
        <v>40352.06</v>
      </c>
      <c r="W137" s="212">
        <v>0</v>
      </c>
      <c r="X137" s="212">
        <v>982</v>
      </c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212"/>
      <c r="AK137" s="212"/>
      <c r="AL137" s="212"/>
      <c r="AM137" s="212"/>
      <c r="AN137" s="229">
        <f t="shared" si="21"/>
        <v>138902.16</v>
      </c>
      <c r="AP137" s="37">
        <f t="shared" si="20"/>
        <v>94184.97</v>
      </c>
      <c r="AQ137" s="37">
        <f t="shared" si="20"/>
        <v>0</v>
      </c>
      <c r="AR137" s="37">
        <f t="shared" si="20"/>
        <v>25030</v>
      </c>
      <c r="AS137" s="37">
        <f t="shared" si="20"/>
        <v>0</v>
      </c>
      <c r="AT137" s="37">
        <f t="shared" si="20"/>
        <v>0</v>
      </c>
      <c r="AU137" s="37">
        <f t="shared" si="20"/>
        <v>0</v>
      </c>
      <c r="AV137" s="37">
        <f t="shared" si="20"/>
        <v>10562.19</v>
      </c>
      <c r="AW137" s="37">
        <f t="shared" si="20"/>
        <v>9125</v>
      </c>
      <c r="AX137" s="37">
        <f t="shared" si="20"/>
        <v>0</v>
      </c>
      <c r="AY137" s="64">
        <f t="shared" ref="AY137:AY200" si="22">SUM(AP137:AX137)-AN137</f>
        <v>0</v>
      </c>
    </row>
    <row r="138" spans="1:51">
      <c r="A138" s="231">
        <v>3381</v>
      </c>
      <c r="B138" s="4">
        <v>103466</v>
      </c>
      <c r="C138" s="4" t="s">
        <v>774</v>
      </c>
      <c r="D138" s="4" t="s">
        <v>775</v>
      </c>
      <c r="E138" s="4" t="s">
        <v>5</v>
      </c>
      <c r="F138" s="232" t="s">
        <v>411</v>
      </c>
      <c r="H138" s="211">
        <v>7425</v>
      </c>
      <c r="I138" s="212">
        <v>0</v>
      </c>
      <c r="J138" s="212">
        <v>9581</v>
      </c>
      <c r="K138" s="211">
        <v>1743.75</v>
      </c>
      <c r="L138" s="211">
        <v>0</v>
      </c>
      <c r="M138" s="212">
        <v>7897</v>
      </c>
      <c r="N138" s="244">
        <v>0</v>
      </c>
      <c r="O138" s="212">
        <v>0</v>
      </c>
      <c r="P138" s="212">
        <v>0</v>
      </c>
      <c r="Q138" s="212">
        <v>12459</v>
      </c>
      <c r="R138" s="212">
        <v>25790</v>
      </c>
      <c r="S138" s="212">
        <v>2465</v>
      </c>
      <c r="T138" s="212">
        <v>0</v>
      </c>
      <c r="U138" s="212"/>
      <c r="V138" s="212">
        <v>0</v>
      </c>
      <c r="W138" s="212">
        <v>0</v>
      </c>
      <c r="X138" s="212">
        <v>17246</v>
      </c>
      <c r="Y138" s="212"/>
      <c r="Z138" s="212"/>
      <c r="AA138" s="212"/>
      <c r="AB138" s="212"/>
      <c r="AC138" s="212"/>
      <c r="AD138" s="212"/>
      <c r="AE138" s="212"/>
      <c r="AF138" s="212"/>
      <c r="AG138" s="212"/>
      <c r="AH138" s="212"/>
      <c r="AI138" s="212"/>
      <c r="AJ138" s="212"/>
      <c r="AK138" s="212"/>
      <c r="AL138" s="212"/>
      <c r="AM138" s="212"/>
      <c r="AN138" s="229">
        <f t="shared" si="21"/>
        <v>84606.75</v>
      </c>
      <c r="AP138" s="37">
        <f t="shared" si="20"/>
        <v>17478</v>
      </c>
      <c r="AQ138" s="37">
        <f t="shared" si="20"/>
        <v>0</v>
      </c>
      <c r="AR138" s="37">
        <f t="shared" si="20"/>
        <v>25790</v>
      </c>
      <c r="AS138" s="37">
        <f t="shared" si="20"/>
        <v>0</v>
      </c>
      <c r="AT138" s="37">
        <f t="shared" si="20"/>
        <v>0</v>
      </c>
      <c r="AU138" s="37">
        <f t="shared" si="20"/>
        <v>0</v>
      </c>
      <c r="AV138" s="37">
        <f t="shared" si="20"/>
        <v>4208.75</v>
      </c>
      <c r="AW138" s="37">
        <f t="shared" si="20"/>
        <v>37130</v>
      </c>
      <c r="AX138" s="37">
        <f t="shared" si="20"/>
        <v>0</v>
      </c>
      <c r="AY138" s="64">
        <f t="shared" si="22"/>
        <v>0</v>
      </c>
    </row>
    <row r="139" spans="1:51">
      <c r="A139" s="231">
        <v>3329</v>
      </c>
      <c r="B139" s="4">
        <v>103431</v>
      </c>
      <c r="C139" s="4" t="s">
        <v>777</v>
      </c>
      <c r="D139" s="4" t="s">
        <v>778</v>
      </c>
      <c r="E139" s="4" t="s">
        <v>5</v>
      </c>
      <c r="F139" s="232" t="s">
        <v>411</v>
      </c>
      <c r="H139" s="211">
        <v>7408</v>
      </c>
      <c r="I139" s="212">
        <v>0</v>
      </c>
      <c r="J139" s="212">
        <v>10248</v>
      </c>
      <c r="K139" s="211">
        <v>2643.75</v>
      </c>
      <c r="L139" s="211">
        <v>0</v>
      </c>
      <c r="M139" s="212">
        <v>8440</v>
      </c>
      <c r="N139" s="244">
        <v>0</v>
      </c>
      <c r="O139" s="212">
        <v>0</v>
      </c>
      <c r="P139" s="212">
        <v>0</v>
      </c>
      <c r="Q139" s="212">
        <v>9654</v>
      </c>
      <c r="R139" s="212">
        <v>35422</v>
      </c>
      <c r="S139" s="212">
        <v>3443.75</v>
      </c>
      <c r="T139" s="212">
        <v>0</v>
      </c>
      <c r="U139" s="212"/>
      <c r="V139" s="212">
        <v>0</v>
      </c>
      <c r="W139" s="212">
        <v>3598</v>
      </c>
      <c r="X139" s="212">
        <v>13320</v>
      </c>
      <c r="Y139" s="212"/>
      <c r="Z139" s="212"/>
      <c r="AA139" s="212"/>
      <c r="AB139" s="212"/>
      <c r="AC139" s="212"/>
      <c r="AD139" s="212"/>
      <c r="AE139" s="212"/>
      <c r="AF139" s="212"/>
      <c r="AG139" s="212"/>
      <c r="AH139" s="212"/>
      <c r="AI139" s="212"/>
      <c r="AJ139" s="212"/>
      <c r="AK139" s="212"/>
      <c r="AL139" s="212"/>
      <c r="AM139" s="212"/>
      <c r="AN139" s="229">
        <f t="shared" si="21"/>
        <v>94177.5</v>
      </c>
      <c r="AP139" s="37">
        <f t="shared" si="20"/>
        <v>22286</v>
      </c>
      <c r="AQ139" s="37">
        <f t="shared" si="20"/>
        <v>0</v>
      </c>
      <c r="AR139" s="37">
        <f t="shared" si="20"/>
        <v>35422</v>
      </c>
      <c r="AS139" s="37">
        <f t="shared" si="20"/>
        <v>0</v>
      </c>
      <c r="AT139" s="37">
        <f t="shared" si="20"/>
        <v>0</v>
      </c>
      <c r="AU139" s="37">
        <f t="shared" si="20"/>
        <v>0</v>
      </c>
      <c r="AV139" s="37">
        <f t="shared" si="20"/>
        <v>6087.5</v>
      </c>
      <c r="AW139" s="37">
        <f t="shared" si="20"/>
        <v>30382</v>
      </c>
      <c r="AX139" s="37">
        <f t="shared" si="20"/>
        <v>0</v>
      </c>
      <c r="AY139" s="64">
        <f t="shared" si="22"/>
        <v>0</v>
      </c>
    </row>
    <row r="140" spans="1:51">
      <c r="A140" s="231">
        <v>2183</v>
      </c>
      <c r="B140" s="4">
        <v>103261</v>
      </c>
      <c r="C140" s="4" t="s">
        <v>780</v>
      </c>
      <c r="D140" s="4" t="s">
        <v>781</v>
      </c>
      <c r="E140" s="4" t="s">
        <v>5</v>
      </c>
      <c r="F140" s="232" t="s">
        <v>411</v>
      </c>
      <c r="H140" s="211">
        <v>8104</v>
      </c>
      <c r="I140" s="212">
        <v>0</v>
      </c>
      <c r="J140" s="212">
        <v>16192</v>
      </c>
      <c r="K140" s="211">
        <v>4500</v>
      </c>
      <c r="L140" s="211">
        <v>0</v>
      </c>
      <c r="M140" s="212">
        <v>13336</v>
      </c>
      <c r="N140" s="244">
        <v>0</v>
      </c>
      <c r="O140" s="212">
        <v>0</v>
      </c>
      <c r="P140" s="212">
        <v>0</v>
      </c>
      <c r="Q140" s="212">
        <v>12037</v>
      </c>
      <c r="R140" s="212">
        <v>55500</v>
      </c>
      <c r="S140" s="212">
        <v>5437.5</v>
      </c>
      <c r="T140" s="212">
        <v>0</v>
      </c>
      <c r="U140" s="212"/>
      <c r="V140" s="212">
        <v>0</v>
      </c>
      <c r="W140" s="212">
        <v>0</v>
      </c>
      <c r="X140" s="212">
        <v>23134</v>
      </c>
      <c r="Y140" s="212"/>
      <c r="Z140" s="212"/>
      <c r="AA140" s="212"/>
      <c r="AB140" s="212"/>
      <c r="AC140" s="212"/>
      <c r="AD140" s="212"/>
      <c r="AE140" s="212"/>
      <c r="AF140" s="212"/>
      <c r="AG140" s="212"/>
      <c r="AH140" s="212"/>
      <c r="AI140" s="212"/>
      <c r="AJ140" s="212"/>
      <c r="AK140" s="212"/>
      <c r="AL140" s="212"/>
      <c r="AM140" s="212"/>
      <c r="AN140" s="229">
        <f t="shared" si="21"/>
        <v>138240.5</v>
      </c>
      <c r="AP140" s="37">
        <f t="shared" si="20"/>
        <v>29528</v>
      </c>
      <c r="AQ140" s="37">
        <f t="shared" si="20"/>
        <v>0</v>
      </c>
      <c r="AR140" s="37">
        <f t="shared" si="20"/>
        <v>55500</v>
      </c>
      <c r="AS140" s="37">
        <f t="shared" si="20"/>
        <v>0</v>
      </c>
      <c r="AT140" s="37">
        <f t="shared" si="20"/>
        <v>0</v>
      </c>
      <c r="AU140" s="37">
        <f t="shared" si="20"/>
        <v>0</v>
      </c>
      <c r="AV140" s="37">
        <f t="shared" si="20"/>
        <v>9937.5</v>
      </c>
      <c r="AW140" s="37">
        <f t="shared" si="20"/>
        <v>43275</v>
      </c>
      <c r="AX140" s="37">
        <f t="shared" si="20"/>
        <v>0</v>
      </c>
      <c r="AY140" s="64">
        <f t="shared" si="22"/>
        <v>0</v>
      </c>
    </row>
    <row r="141" spans="1:51">
      <c r="A141" s="231">
        <v>3331</v>
      </c>
      <c r="B141" s="4">
        <v>103433</v>
      </c>
      <c r="C141" s="4" t="s">
        <v>786</v>
      </c>
      <c r="D141" s="4" t="s">
        <v>787</v>
      </c>
      <c r="E141" s="4" t="s">
        <v>5</v>
      </c>
      <c r="F141" s="232" t="s">
        <v>411</v>
      </c>
      <c r="H141" s="211">
        <v>7425</v>
      </c>
      <c r="I141" s="212">
        <v>0</v>
      </c>
      <c r="J141" s="212">
        <v>9857</v>
      </c>
      <c r="K141" s="211">
        <v>1828.13</v>
      </c>
      <c r="L141" s="211">
        <v>0</v>
      </c>
      <c r="M141" s="212">
        <v>8123</v>
      </c>
      <c r="N141" s="244">
        <v>0</v>
      </c>
      <c r="O141" s="212">
        <v>0</v>
      </c>
      <c r="P141" s="212">
        <v>0</v>
      </c>
      <c r="Q141" s="212">
        <v>11657</v>
      </c>
      <c r="R141" s="212">
        <v>27750</v>
      </c>
      <c r="S141" s="212">
        <v>2718.75</v>
      </c>
      <c r="T141" s="212">
        <v>200</v>
      </c>
      <c r="U141" s="212"/>
      <c r="V141" s="212">
        <v>0</v>
      </c>
      <c r="W141" s="212">
        <v>0</v>
      </c>
      <c r="X141" s="212">
        <v>16124</v>
      </c>
      <c r="Y141" s="212"/>
      <c r="Z141" s="212"/>
      <c r="AA141" s="212"/>
      <c r="AB141" s="212"/>
      <c r="AC141" s="212"/>
      <c r="AD141" s="212"/>
      <c r="AE141" s="212"/>
      <c r="AF141" s="212"/>
      <c r="AG141" s="212"/>
      <c r="AH141" s="212"/>
      <c r="AI141" s="212"/>
      <c r="AJ141" s="212"/>
      <c r="AK141" s="212"/>
      <c r="AL141" s="212"/>
      <c r="AM141" s="212"/>
      <c r="AN141" s="229">
        <f t="shared" si="21"/>
        <v>85682.880000000005</v>
      </c>
      <c r="AP141" s="37">
        <f t="shared" si="20"/>
        <v>17980</v>
      </c>
      <c r="AQ141" s="37">
        <f t="shared" si="20"/>
        <v>0</v>
      </c>
      <c r="AR141" s="37">
        <f t="shared" si="20"/>
        <v>27750</v>
      </c>
      <c r="AS141" s="37">
        <f t="shared" si="20"/>
        <v>200</v>
      </c>
      <c r="AT141" s="37">
        <f t="shared" si="20"/>
        <v>0</v>
      </c>
      <c r="AU141" s="37">
        <f t="shared" si="20"/>
        <v>0</v>
      </c>
      <c r="AV141" s="37">
        <f t="shared" si="20"/>
        <v>4546.88</v>
      </c>
      <c r="AW141" s="37">
        <f t="shared" si="20"/>
        <v>35206</v>
      </c>
      <c r="AX141" s="37">
        <f t="shared" si="20"/>
        <v>0</v>
      </c>
      <c r="AY141" s="64">
        <f t="shared" si="22"/>
        <v>0</v>
      </c>
    </row>
    <row r="142" spans="1:51">
      <c r="A142" s="231">
        <v>3406</v>
      </c>
      <c r="B142" s="4">
        <v>103476</v>
      </c>
      <c r="C142" s="4" t="s">
        <v>789</v>
      </c>
      <c r="D142" s="4" t="s">
        <v>790</v>
      </c>
      <c r="E142" s="4" t="s">
        <v>5</v>
      </c>
      <c r="F142" s="232" t="s">
        <v>411</v>
      </c>
      <c r="H142" s="211">
        <v>7617</v>
      </c>
      <c r="I142" s="212">
        <v>0</v>
      </c>
      <c r="J142" s="212">
        <v>13018</v>
      </c>
      <c r="K142" s="211">
        <v>3796.88</v>
      </c>
      <c r="L142" s="211">
        <v>0</v>
      </c>
      <c r="M142" s="212">
        <v>10710</v>
      </c>
      <c r="N142" s="244">
        <v>0</v>
      </c>
      <c r="O142" s="212">
        <v>0</v>
      </c>
      <c r="P142" s="212">
        <v>0</v>
      </c>
      <c r="Q142" s="212">
        <v>4066</v>
      </c>
      <c r="R142" s="212">
        <v>59472</v>
      </c>
      <c r="S142" s="212">
        <v>5800</v>
      </c>
      <c r="T142" s="212">
        <v>0</v>
      </c>
      <c r="U142" s="212"/>
      <c r="V142" s="212">
        <v>0</v>
      </c>
      <c r="W142" s="212">
        <v>0</v>
      </c>
      <c r="X142" s="212">
        <v>7852</v>
      </c>
      <c r="Y142" s="212"/>
      <c r="Z142" s="212"/>
      <c r="AA142" s="212"/>
      <c r="AB142" s="212"/>
      <c r="AC142" s="212"/>
      <c r="AD142" s="212"/>
      <c r="AE142" s="212"/>
      <c r="AF142" s="212"/>
      <c r="AG142" s="212"/>
      <c r="AH142" s="212"/>
      <c r="AI142" s="212"/>
      <c r="AJ142" s="212"/>
      <c r="AK142" s="212"/>
      <c r="AL142" s="212"/>
      <c r="AM142" s="212"/>
      <c r="AN142" s="229">
        <f t="shared" si="21"/>
        <v>112331.88</v>
      </c>
      <c r="AP142" s="37">
        <f t="shared" ref="AP142:AX151" si="23">SUMIF($H$3:$AM$3,AP$6,$H142:$AM142)</f>
        <v>23728</v>
      </c>
      <c r="AQ142" s="37">
        <f t="shared" si="23"/>
        <v>0</v>
      </c>
      <c r="AR142" s="37">
        <f t="shared" si="23"/>
        <v>59472</v>
      </c>
      <c r="AS142" s="37">
        <f t="shared" si="23"/>
        <v>0</v>
      </c>
      <c r="AT142" s="37">
        <f t="shared" si="23"/>
        <v>0</v>
      </c>
      <c r="AU142" s="37">
        <f t="shared" si="23"/>
        <v>0</v>
      </c>
      <c r="AV142" s="37">
        <f t="shared" si="23"/>
        <v>9596.880000000001</v>
      </c>
      <c r="AW142" s="37">
        <f t="shared" si="23"/>
        <v>19535</v>
      </c>
      <c r="AX142" s="37">
        <f t="shared" si="23"/>
        <v>0</v>
      </c>
      <c r="AY142" s="64">
        <f t="shared" si="22"/>
        <v>0</v>
      </c>
    </row>
    <row r="143" spans="1:51">
      <c r="A143" s="231">
        <v>3386</v>
      </c>
      <c r="B143" s="4">
        <v>103470</v>
      </c>
      <c r="C143" s="4" t="s">
        <v>792</v>
      </c>
      <c r="D143" s="4" t="s">
        <v>793</v>
      </c>
      <c r="E143" s="4" t="s">
        <v>5</v>
      </c>
      <c r="F143" s="232" t="s">
        <v>411</v>
      </c>
      <c r="H143" s="211">
        <v>7442</v>
      </c>
      <c r="I143" s="212">
        <v>0</v>
      </c>
      <c r="J143" s="212">
        <v>10798</v>
      </c>
      <c r="K143" s="211">
        <v>2193.75</v>
      </c>
      <c r="L143" s="211">
        <v>0</v>
      </c>
      <c r="M143" s="212">
        <v>8891</v>
      </c>
      <c r="N143" s="244">
        <v>0</v>
      </c>
      <c r="O143" s="212">
        <v>0</v>
      </c>
      <c r="P143" s="212">
        <v>0</v>
      </c>
      <c r="Q143" s="212">
        <v>3224</v>
      </c>
      <c r="R143" s="212">
        <v>38850</v>
      </c>
      <c r="S143" s="212">
        <v>3806.25</v>
      </c>
      <c r="T143" s="212">
        <v>400</v>
      </c>
      <c r="U143" s="212"/>
      <c r="V143" s="212">
        <v>0</v>
      </c>
      <c r="W143" s="212">
        <v>0</v>
      </c>
      <c r="X143" s="212">
        <v>10796</v>
      </c>
      <c r="Y143" s="212"/>
      <c r="Z143" s="212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29">
        <f t="shared" si="21"/>
        <v>86401</v>
      </c>
      <c r="AP143" s="37">
        <f t="shared" si="23"/>
        <v>19689</v>
      </c>
      <c r="AQ143" s="37">
        <f t="shared" si="23"/>
        <v>0</v>
      </c>
      <c r="AR143" s="37">
        <f t="shared" si="23"/>
        <v>38850</v>
      </c>
      <c r="AS143" s="37">
        <f t="shared" si="23"/>
        <v>400</v>
      </c>
      <c r="AT143" s="37">
        <f t="shared" si="23"/>
        <v>0</v>
      </c>
      <c r="AU143" s="37">
        <f t="shared" si="23"/>
        <v>0</v>
      </c>
      <c r="AV143" s="37">
        <f t="shared" si="23"/>
        <v>6000</v>
      </c>
      <c r="AW143" s="37">
        <f t="shared" si="23"/>
        <v>21462</v>
      </c>
      <c r="AX143" s="37">
        <f t="shared" si="23"/>
        <v>0</v>
      </c>
      <c r="AY143" s="64">
        <f t="shared" si="22"/>
        <v>0</v>
      </c>
    </row>
    <row r="144" spans="1:51">
      <c r="A144" s="231">
        <v>3342</v>
      </c>
      <c r="B144" s="4">
        <v>103437</v>
      </c>
      <c r="C144" s="4" t="s">
        <v>795</v>
      </c>
      <c r="D144" s="4" t="s">
        <v>796</v>
      </c>
      <c r="E144" s="4" t="s">
        <v>5</v>
      </c>
      <c r="F144" s="232" t="s">
        <v>411</v>
      </c>
      <c r="H144" s="211">
        <v>8087</v>
      </c>
      <c r="I144" s="212">
        <v>0</v>
      </c>
      <c r="J144" s="212">
        <v>19125</v>
      </c>
      <c r="K144" s="211">
        <v>6468.75</v>
      </c>
      <c r="L144" s="211">
        <v>0</v>
      </c>
      <c r="M144" s="212">
        <v>15740</v>
      </c>
      <c r="N144" s="244">
        <v>0</v>
      </c>
      <c r="O144" s="212">
        <v>0</v>
      </c>
      <c r="P144" s="212">
        <v>0</v>
      </c>
      <c r="Q144" s="212">
        <v>18467</v>
      </c>
      <c r="R144" s="212">
        <v>81770</v>
      </c>
      <c r="S144" s="212">
        <v>8011.25</v>
      </c>
      <c r="T144" s="212">
        <v>400</v>
      </c>
      <c r="U144" s="212"/>
      <c r="V144" s="212">
        <v>0</v>
      </c>
      <c r="W144" s="212">
        <v>0</v>
      </c>
      <c r="X144" s="212">
        <v>20751</v>
      </c>
      <c r="Y144" s="212"/>
      <c r="Z144" s="212"/>
      <c r="AA144" s="212"/>
      <c r="AB144" s="212"/>
      <c r="AC144" s="212"/>
      <c r="AD144" s="212"/>
      <c r="AE144" s="212"/>
      <c r="AF144" s="212"/>
      <c r="AG144" s="212"/>
      <c r="AH144" s="212"/>
      <c r="AI144" s="212"/>
      <c r="AJ144" s="212"/>
      <c r="AK144" s="212"/>
      <c r="AL144" s="212"/>
      <c r="AM144" s="212"/>
      <c r="AN144" s="229">
        <f t="shared" si="21"/>
        <v>178820</v>
      </c>
      <c r="AP144" s="37">
        <f t="shared" si="23"/>
        <v>34865</v>
      </c>
      <c r="AQ144" s="37">
        <f t="shared" si="23"/>
        <v>0</v>
      </c>
      <c r="AR144" s="37">
        <f t="shared" si="23"/>
        <v>81770</v>
      </c>
      <c r="AS144" s="37">
        <f t="shared" si="23"/>
        <v>400</v>
      </c>
      <c r="AT144" s="37">
        <f t="shared" si="23"/>
        <v>0</v>
      </c>
      <c r="AU144" s="37">
        <f t="shared" si="23"/>
        <v>0</v>
      </c>
      <c r="AV144" s="37">
        <f t="shared" si="23"/>
        <v>14480</v>
      </c>
      <c r="AW144" s="37">
        <f t="shared" si="23"/>
        <v>47305</v>
      </c>
      <c r="AX144" s="37">
        <f t="shared" si="23"/>
        <v>0</v>
      </c>
      <c r="AY144" s="64">
        <f t="shared" si="22"/>
        <v>0</v>
      </c>
    </row>
    <row r="145" spans="1:51">
      <c r="A145" s="231">
        <v>3010</v>
      </c>
      <c r="B145" s="4">
        <v>103401</v>
      </c>
      <c r="C145" s="4" t="s">
        <v>798</v>
      </c>
      <c r="D145" s="4" t="s">
        <v>799</v>
      </c>
      <c r="E145" s="4" t="s">
        <v>5</v>
      </c>
      <c r="F145" s="232" t="s">
        <v>411</v>
      </c>
      <c r="H145" s="211">
        <v>8167</v>
      </c>
      <c r="I145" s="212">
        <v>0</v>
      </c>
      <c r="J145" s="212">
        <v>19474</v>
      </c>
      <c r="K145" s="211">
        <v>5034.38</v>
      </c>
      <c r="L145" s="211">
        <v>0</v>
      </c>
      <c r="M145" s="212">
        <v>16038</v>
      </c>
      <c r="N145" s="244">
        <v>0</v>
      </c>
      <c r="O145" s="212">
        <v>0</v>
      </c>
      <c r="P145" s="212">
        <v>0</v>
      </c>
      <c r="Q145" s="212">
        <v>23774</v>
      </c>
      <c r="R145" s="212">
        <v>72312</v>
      </c>
      <c r="S145" s="212">
        <v>6996.25</v>
      </c>
      <c r="T145" s="212">
        <v>200</v>
      </c>
      <c r="U145" s="212"/>
      <c r="V145" s="212">
        <v>0</v>
      </c>
      <c r="W145" s="212">
        <v>0</v>
      </c>
      <c r="X145" s="212">
        <v>29163</v>
      </c>
      <c r="Y145" s="212"/>
      <c r="Z145" s="212"/>
      <c r="AA145" s="212"/>
      <c r="AB145" s="212"/>
      <c r="AC145" s="212"/>
      <c r="AD145" s="212"/>
      <c r="AE145" s="212"/>
      <c r="AF145" s="212"/>
      <c r="AG145" s="212"/>
      <c r="AH145" s="212"/>
      <c r="AI145" s="212"/>
      <c r="AJ145" s="212"/>
      <c r="AK145" s="212"/>
      <c r="AL145" s="212"/>
      <c r="AM145" s="212"/>
      <c r="AN145" s="229">
        <f t="shared" si="21"/>
        <v>181158.63</v>
      </c>
      <c r="AP145" s="37">
        <f t="shared" si="23"/>
        <v>35512</v>
      </c>
      <c r="AQ145" s="37">
        <f t="shared" si="23"/>
        <v>0</v>
      </c>
      <c r="AR145" s="37">
        <f t="shared" si="23"/>
        <v>72312</v>
      </c>
      <c r="AS145" s="37">
        <f t="shared" si="23"/>
        <v>200</v>
      </c>
      <c r="AT145" s="37">
        <f t="shared" si="23"/>
        <v>0</v>
      </c>
      <c r="AU145" s="37">
        <f t="shared" si="23"/>
        <v>0</v>
      </c>
      <c r="AV145" s="37">
        <f t="shared" si="23"/>
        <v>12030.630000000001</v>
      </c>
      <c r="AW145" s="37">
        <f t="shared" si="23"/>
        <v>61104</v>
      </c>
      <c r="AX145" s="37">
        <f t="shared" si="23"/>
        <v>0</v>
      </c>
      <c r="AY145" s="64">
        <f t="shared" si="22"/>
        <v>0</v>
      </c>
    </row>
    <row r="146" spans="1:51">
      <c r="A146" s="231">
        <v>4625</v>
      </c>
      <c r="B146" s="4">
        <v>103534</v>
      </c>
      <c r="C146" s="4" t="s">
        <v>801</v>
      </c>
      <c r="D146" s="4" t="s">
        <v>802</v>
      </c>
      <c r="E146" s="4" t="s">
        <v>6</v>
      </c>
      <c r="F146" s="232" t="s">
        <v>411</v>
      </c>
      <c r="H146" s="211">
        <v>0</v>
      </c>
      <c r="I146" s="212">
        <v>0</v>
      </c>
      <c r="J146" s="212">
        <v>45920</v>
      </c>
      <c r="K146" s="211">
        <v>9984.3799999999992</v>
      </c>
      <c r="L146" s="211">
        <v>0</v>
      </c>
      <c r="M146" s="212">
        <v>36821</v>
      </c>
      <c r="N146" s="244">
        <v>0</v>
      </c>
      <c r="O146" s="212">
        <v>0</v>
      </c>
      <c r="P146" s="212">
        <v>0</v>
      </c>
      <c r="Q146" s="212">
        <v>0</v>
      </c>
      <c r="R146" s="212">
        <v>92137</v>
      </c>
      <c r="S146" s="212">
        <v>24219</v>
      </c>
      <c r="T146" s="212">
        <v>0</v>
      </c>
      <c r="U146" s="212"/>
      <c r="V146" s="212">
        <v>0</v>
      </c>
      <c r="W146" s="212">
        <v>0</v>
      </c>
      <c r="X146" s="212">
        <v>0</v>
      </c>
      <c r="Y146" s="212"/>
      <c r="Z146" s="212"/>
      <c r="AA146" s="212"/>
      <c r="AB146" s="212"/>
      <c r="AC146" s="212"/>
      <c r="AD146" s="212"/>
      <c r="AE146" s="212"/>
      <c r="AF146" s="212"/>
      <c r="AG146" s="212"/>
      <c r="AH146" s="212"/>
      <c r="AI146" s="212"/>
      <c r="AJ146" s="212"/>
      <c r="AK146" s="212"/>
      <c r="AL146" s="212"/>
      <c r="AM146" s="212"/>
      <c r="AN146" s="229">
        <f t="shared" si="21"/>
        <v>209081.38</v>
      </c>
      <c r="AP146" s="37">
        <f t="shared" si="23"/>
        <v>82741</v>
      </c>
      <c r="AQ146" s="37">
        <f t="shared" si="23"/>
        <v>0</v>
      </c>
      <c r="AR146" s="37">
        <f t="shared" si="23"/>
        <v>92137</v>
      </c>
      <c r="AS146" s="37">
        <f t="shared" si="23"/>
        <v>0</v>
      </c>
      <c r="AT146" s="37">
        <f t="shared" si="23"/>
        <v>0</v>
      </c>
      <c r="AU146" s="37">
        <f t="shared" si="23"/>
        <v>0</v>
      </c>
      <c r="AV146" s="37">
        <f t="shared" si="23"/>
        <v>34203.379999999997</v>
      </c>
      <c r="AW146" s="37">
        <f t="shared" si="23"/>
        <v>0</v>
      </c>
      <c r="AX146" s="37">
        <f t="shared" si="23"/>
        <v>0</v>
      </c>
      <c r="AY146" s="64">
        <f t="shared" si="22"/>
        <v>0</v>
      </c>
    </row>
    <row r="147" spans="1:51">
      <c r="A147" s="231">
        <v>3307</v>
      </c>
      <c r="B147" s="4">
        <v>103416</v>
      </c>
      <c r="C147" s="4" t="s">
        <v>804</v>
      </c>
      <c r="D147" s="4" t="s">
        <v>805</v>
      </c>
      <c r="E147" s="4" t="s">
        <v>5</v>
      </c>
      <c r="F147" s="232" t="s">
        <v>411</v>
      </c>
      <c r="H147" s="211">
        <v>8183</v>
      </c>
      <c r="I147" s="212">
        <v>0</v>
      </c>
      <c r="J147" s="212">
        <v>14720</v>
      </c>
      <c r="K147" s="211">
        <v>2531.25</v>
      </c>
      <c r="L147" s="211">
        <v>0</v>
      </c>
      <c r="M147" s="212">
        <v>12140</v>
      </c>
      <c r="N147" s="244">
        <v>0</v>
      </c>
      <c r="O147" s="212">
        <v>0</v>
      </c>
      <c r="P147" s="212">
        <v>0</v>
      </c>
      <c r="Q147" s="212">
        <v>0</v>
      </c>
      <c r="R147" s="212">
        <v>35262</v>
      </c>
      <c r="S147" s="212">
        <v>3226.25</v>
      </c>
      <c r="T147" s="212">
        <v>0</v>
      </c>
      <c r="U147" s="212"/>
      <c r="V147" s="212">
        <v>0</v>
      </c>
      <c r="W147" s="212">
        <v>0</v>
      </c>
      <c r="X147" s="212">
        <v>0</v>
      </c>
      <c r="Y147" s="212"/>
      <c r="Z147" s="212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2"/>
      <c r="AK147" s="212"/>
      <c r="AL147" s="212"/>
      <c r="AM147" s="212"/>
      <c r="AN147" s="229">
        <f t="shared" si="21"/>
        <v>76062.5</v>
      </c>
      <c r="AP147" s="37">
        <f t="shared" si="23"/>
        <v>26860</v>
      </c>
      <c r="AQ147" s="37">
        <f t="shared" si="23"/>
        <v>0</v>
      </c>
      <c r="AR147" s="37">
        <f t="shared" si="23"/>
        <v>35262</v>
      </c>
      <c r="AS147" s="37">
        <f t="shared" si="23"/>
        <v>0</v>
      </c>
      <c r="AT147" s="37">
        <f t="shared" si="23"/>
        <v>0</v>
      </c>
      <c r="AU147" s="37">
        <f t="shared" si="23"/>
        <v>0</v>
      </c>
      <c r="AV147" s="37">
        <f t="shared" si="23"/>
        <v>5757.5</v>
      </c>
      <c r="AW147" s="37">
        <f t="shared" si="23"/>
        <v>8183</v>
      </c>
      <c r="AX147" s="37">
        <f t="shared" si="23"/>
        <v>0</v>
      </c>
      <c r="AY147" s="64">
        <f t="shared" si="22"/>
        <v>0</v>
      </c>
    </row>
    <row r="148" spans="1:51">
      <c r="A148" s="231">
        <v>3382</v>
      </c>
      <c r="B148" s="4">
        <v>103467</v>
      </c>
      <c r="C148" s="4" t="s">
        <v>807</v>
      </c>
      <c r="D148" s="4" t="s">
        <v>808</v>
      </c>
      <c r="E148" s="4" t="s">
        <v>5</v>
      </c>
      <c r="F148" s="232" t="s">
        <v>411</v>
      </c>
      <c r="H148" s="211">
        <v>7400</v>
      </c>
      <c r="I148" s="212">
        <v>0</v>
      </c>
      <c r="J148" s="212">
        <v>9027</v>
      </c>
      <c r="K148" s="211">
        <v>1771.88</v>
      </c>
      <c r="L148" s="211">
        <v>0</v>
      </c>
      <c r="M148" s="212">
        <v>7442</v>
      </c>
      <c r="N148" s="244">
        <v>0</v>
      </c>
      <c r="O148" s="212">
        <v>0</v>
      </c>
      <c r="P148" s="212">
        <v>0</v>
      </c>
      <c r="Q148" s="212">
        <v>11797</v>
      </c>
      <c r="R148" s="212">
        <v>23375</v>
      </c>
      <c r="S148" s="212">
        <v>2175</v>
      </c>
      <c r="T148" s="212">
        <v>0</v>
      </c>
      <c r="U148" s="212"/>
      <c r="V148" s="212">
        <v>0</v>
      </c>
      <c r="W148" s="212">
        <v>0</v>
      </c>
      <c r="X148" s="212">
        <v>18087</v>
      </c>
      <c r="Y148" s="212"/>
      <c r="Z148" s="212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2"/>
      <c r="AK148" s="212"/>
      <c r="AL148" s="212"/>
      <c r="AM148" s="212"/>
      <c r="AN148" s="229">
        <f t="shared" si="21"/>
        <v>81074.880000000005</v>
      </c>
      <c r="AP148" s="37">
        <f t="shared" si="23"/>
        <v>16469</v>
      </c>
      <c r="AQ148" s="37">
        <f t="shared" si="23"/>
        <v>0</v>
      </c>
      <c r="AR148" s="37">
        <f t="shared" si="23"/>
        <v>23375</v>
      </c>
      <c r="AS148" s="37">
        <f t="shared" si="23"/>
        <v>0</v>
      </c>
      <c r="AT148" s="37">
        <f t="shared" si="23"/>
        <v>0</v>
      </c>
      <c r="AU148" s="37">
        <f t="shared" si="23"/>
        <v>0</v>
      </c>
      <c r="AV148" s="37">
        <f t="shared" si="23"/>
        <v>3946.88</v>
      </c>
      <c r="AW148" s="37">
        <f t="shared" si="23"/>
        <v>37284</v>
      </c>
      <c r="AX148" s="37">
        <f t="shared" si="23"/>
        <v>0</v>
      </c>
      <c r="AY148" s="64">
        <f t="shared" si="22"/>
        <v>0</v>
      </c>
    </row>
    <row r="149" spans="1:51">
      <c r="A149" s="231">
        <v>3025</v>
      </c>
      <c r="B149" s="4">
        <v>103410</v>
      </c>
      <c r="C149" s="4" t="s">
        <v>810</v>
      </c>
      <c r="D149" s="4" t="s">
        <v>157</v>
      </c>
      <c r="E149" s="4" t="s">
        <v>5</v>
      </c>
      <c r="F149" s="232" t="s">
        <v>411</v>
      </c>
      <c r="H149" s="211">
        <v>8162</v>
      </c>
      <c r="I149" s="212">
        <v>0</v>
      </c>
      <c r="J149" s="212">
        <v>16200</v>
      </c>
      <c r="K149" s="211">
        <v>2503.13</v>
      </c>
      <c r="L149" s="211">
        <v>0</v>
      </c>
      <c r="M149" s="212">
        <v>13362</v>
      </c>
      <c r="N149" s="244">
        <v>0</v>
      </c>
      <c r="O149" s="212">
        <v>0</v>
      </c>
      <c r="P149" s="212">
        <v>0</v>
      </c>
      <c r="Q149" s="212">
        <v>25076</v>
      </c>
      <c r="R149" s="212">
        <v>35942</v>
      </c>
      <c r="S149" s="212">
        <v>3371.25</v>
      </c>
      <c r="T149" s="212">
        <v>0</v>
      </c>
      <c r="U149" s="212"/>
      <c r="V149" s="212">
        <v>0</v>
      </c>
      <c r="W149" s="212">
        <v>0</v>
      </c>
      <c r="X149" s="212">
        <v>35893</v>
      </c>
      <c r="Y149" s="212"/>
      <c r="Z149" s="212"/>
      <c r="AA149" s="212"/>
      <c r="AB149" s="212"/>
      <c r="AC149" s="212"/>
      <c r="AD149" s="212"/>
      <c r="AE149" s="212"/>
      <c r="AF149" s="212"/>
      <c r="AG149" s="212"/>
      <c r="AH149" s="212"/>
      <c r="AI149" s="212"/>
      <c r="AJ149" s="212"/>
      <c r="AK149" s="212"/>
      <c r="AL149" s="212"/>
      <c r="AM149" s="212"/>
      <c r="AN149" s="229">
        <f t="shared" si="21"/>
        <v>140509.38</v>
      </c>
      <c r="AP149" s="37">
        <f t="shared" si="23"/>
        <v>29562</v>
      </c>
      <c r="AQ149" s="37">
        <f t="shared" si="23"/>
        <v>0</v>
      </c>
      <c r="AR149" s="37">
        <f t="shared" si="23"/>
        <v>35942</v>
      </c>
      <c r="AS149" s="37">
        <f t="shared" si="23"/>
        <v>0</v>
      </c>
      <c r="AT149" s="37">
        <f t="shared" si="23"/>
        <v>0</v>
      </c>
      <c r="AU149" s="37">
        <f t="shared" si="23"/>
        <v>0</v>
      </c>
      <c r="AV149" s="37">
        <f t="shared" si="23"/>
        <v>5874.38</v>
      </c>
      <c r="AW149" s="37">
        <f t="shared" si="23"/>
        <v>69131</v>
      </c>
      <c r="AX149" s="37">
        <f t="shared" si="23"/>
        <v>0</v>
      </c>
      <c r="AY149" s="64">
        <f t="shared" si="22"/>
        <v>0</v>
      </c>
    </row>
    <row r="150" spans="1:51">
      <c r="A150" s="231">
        <v>3346</v>
      </c>
      <c r="B150" s="4">
        <v>103439</v>
      </c>
      <c r="C150" s="4" t="s">
        <v>812</v>
      </c>
      <c r="D150" s="4" t="s">
        <v>813</v>
      </c>
      <c r="E150" s="4" t="s">
        <v>5</v>
      </c>
      <c r="F150" s="232" t="s">
        <v>411</v>
      </c>
      <c r="H150" s="211">
        <v>8000</v>
      </c>
      <c r="I150" s="212">
        <v>0</v>
      </c>
      <c r="J150" s="212">
        <v>16988</v>
      </c>
      <c r="K150" s="211">
        <v>5203.13</v>
      </c>
      <c r="L150" s="211">
        <v>0</v>
      </c>
      <c r="M150" s="212">
        <v>13991</v>
      </c>
      <c r="N150" s="244">
        <v>0</v>
      </c>
      <c r="O150" s="212">
        <v>0</v>
      </c>
      <c r="P150" s="212">
        <v>0</v>
      </c>
      <c r="Q150" s="212">
        <v>23633</v>
      </c>
      <c r="R150" s="212">
        <v>61310</v>
      </c>
      <c r="S150" s="212">
        <v>5945</v>
      </c>
      <c r="T150" s="212">
        <v>200</v>
      </c>
      <c r="U150" s="212"/>
      <c r="V150" s="212">
        <v>0</v>
      </c>
      <c r="W150" s="212">
        <v>3598</v>
      </c>
      <c r="X150" s="212">
        <v>26219</v>
      </c>
      <c r="Y150" s="212"/>
      <c r="Z150" s="212"/>
      <c r="AA150" s="212"/>
      <c r="AB150" s="212"/>
      <c r="AC150" s="212"/>
      <c r="AD150" s="212"/>
      <c r="AE150" s="212"/>
      <c r="AF150" s="212"/>
      <c r="AG150" s="212"/>
      <c r="AH150" s="212"/>
      <c r="AI150" s="212"/>
      <c r="AJ150" s="212"/>
      <c r="AK150" s="212"/>
      <c r="AL150" s="212"/>
      <c r="AM150" s="212"/>
      <c r="AN150" s="229">
        <f t="shared" si="21"/>
        <v>165087.13</v>
      </c>
      <c r="AP150" s="37">
        <f t="shared" si="23"/>
        <v>34577</v>
      </c>
      <c r="AQ150" s="37">
        <f t="shared" si="23"/>
        <v>0</v>
      </c>
      <c r="AR150" s="37">
        <f t="shared" si="23"/>
        <v>61310</v>
      </c>
      <c r="AS150" s="37">
        <f t="shared" si="23"/>
        <v>200</v>
      </c>
      <c r="AT150" s="37">
        <f t="shared" si="23"/>
        <v>0</v>
      </c>
      <c r="AU150" s="37">
        <f t="shared" si="23"/>
        <v>0</v>
      </c>
      <c r="AV150" s="37">
        <f t="shared" si="23"/>
        <v>11148.130000000001</v>
      </c>
      <c r="AW150" s="37">
        <f t="shared" si="23"/>
        <v>57852</v>
      </c>
      <c r="AX150" s="37">
        <f t="shared" si="23"/>
        <v>0</v>
      </c>
      <c r="AY150" s="64">
        <f t="shared" si="22"/>
        <v>0</v>
      </c>
    </row>
    <row r="151" spans="1:51">
      <c r="A151" s="231">
        <v>3365</v>
      </c>
      <c r="B151" s="4">
        <v>103456</v>
      </c>
      <c r="C151" s="4" t="s">
        <v>815</v>
      </c>
      <c r="D151" s="4" t="s">
        <v>816</v>
      </c>
      <c r="E151" s="4" t="s">
        <v>5</v>
      </c>
      <c r="F151" s="232" t="s">
        <v>411</v>
      </c>
      <c r="H151" s="211">
        <v>7417</v>
      </c>
      <c r="I151" s="212">
        <v>0</v>
      </c>
      <c r="J151" s="212">
        <v>8730</v>
      </c>
      <c r="K151" s="211">
        <v>1012.5</v>
      </c>
      <c r="L151" s="211">
        <v>0</v>
      </c>
      <c r="M151" s="212">
        <v>7203</v>
      </c>
      <c r="N151" s="244">
        <v>0</v>
      </c>
      <c r="O151" s="212">
        <v>0</v>
      </c>
      <c r="P151" s="212">
        <v>0</v>
      </c>
      <c r="Q151" s="212">
        <v>15883</v>
      </c>
      <c r="R151" s="212">
        <v>15617</v>
      </c>
      <c r="S151" s="212">
        <v>1450</v>
      </c>
      <c r="T151" s="212">
        <v>0</v>
      </c>
      <c r="U151" s="212"/>
      <c r="V151" s="212">
        <v>0</v>
      </c>
      <c r="W151" s="212">
        <v>0</v>
      </c>
      <c r="X151" s="212">
        <v>20471</v>
      </c>
      <c r="Y151" s="212"/>
      <c r="Z151" s="212"/>
      <c r="AA151" s="212"/>
      <c r="AB151" s="212"/>
      <c r="AC151" s="212"/>
      <c r="AD151" s="212"/>
      <c r="AE151" s="212"/>
      <c r="AF151" s="212"/>
      <c r="AG151" s="212"/>
      <c r="AH151" s="212"/>
      <c r="AI151" s="212"/>
      <c r="AJ151" s="212"/>
      <c r="AK151" s="212"/>
      <c r="AL151" s="212"/>
      <c r="AM151" s="212"/>
      <c r="AN151" s="229">
        <f t="shared" si="21"/>
        <v>77783.5</v>
      </c>
      <c r="AP151" s="37">
        <f t="shared" si="23"/>
        <v>15933</v>
      </c>
      <c r="AQ151" s="37">
        <f t="shared" si="23"/>
        <v>0</v>
      </c>
      <c r="AR151" s="37">
        <f t="shared" si="23"/>
        <v>15617</v>
      </c>
      <c r="AS151" s="37">
        <f t="shared" si="23"/>
        <v>0</v>
      </c>
      <c r="AT151" s="37">
        <f t="shared" si="23"/>
        <v>0</v>
      </c>
      <c r="AU151" s="37">
        <f t="shared" si="23"/>
        <v>0</v>
      </c>
      <c r="AV151" s="37">
        <f t="shared" si="23"/>
        <v>2462.5</v>
      </c>
      <c r="AW151" s="37">
        <f t="shared" si="23"/>
        <v>43771</v>
      </c>
      <c r="AX151" s="37">
        <f t="shared" si="23"/>
        <v>0</v>
      </c>
      <c r="AY151" s="64">
        <f t="shared" si="22"/>
        <v>0</v>
      </c>
    </row>
    <row r="152" spans="1:51">
      <c r="A152" s="231">
        <v>1009</v>
      </c>
      <c r="B152" s="4">
        <v>103124</v>
      </c>
      <c r="C152" s="4" t="s">
        <v>818</v>
      </c>
      <c r="D152" s="4" t="s">
        <v>819</v>
      </c>
      <c r="E152" s="4" t="s">
        <v>180</v>
      </c>
      <c r="F152" s="232" t="s">
        <v>411</v>
      </c>
      <c r="H152" s="211">
        <v>0</v>
      </c>
      <c r="I152" s="212">
        <v>0</v>
      </c>
      <c r="J152" s="212">
        <v>0</v>
      </c>
      <c r="K152" s="211">
        <v>0</v>
      </c>
      <c r="L152" s="211">
        <v>0</v>
      </c>
      <c r="M152" s="212">
        <v>0</v>
      </c>
      <c r="N152" s="244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/>
      <c r="V152" s="212">
        <v>0</v>
      </c>
      <c r="W152" s="212">
        <v>0</v>
      </c>
      <c r="X152" s="212">
        <v>0</v>
      </c>
      <c r="Y152" s="212"/>
      <c r="Z152" s="212"/>
      <c r="AA152" s="212"/>
      <c r="AB152" s="212"/>
      <c r="AC152" s="212"/>
      <c r="AD152" s="212"/>
      <c r="AE152" s="212"/>
      <c r="AF152" s="212"/>
      <c r="AG152" s="212"/>
      <c r="AH152" s="212"/>
      <c r="AI152" s="212"/>
      <c r="AJ152" s="212"/>
      <c r="AK152" s="212"/>
      <c r="AL152" s="212"/>
      <c r="AM152" s="212"/>
      <c r="AN152" s="229">
        <f t="shared" si="21"/>
        <v>0</v>
      </c>
      <c r="AP152" s="37">
        <f t="shared" ref="AP152:AX161" si="24">SUMIF($H$3:$AM$3,AP$6,$H152:$AM152)</f>
        <v>0</v>
      </c>
      <c r="AQ152" s="37">
        <f t="shared" si="24"/>
        <v>0</v>
      </c>
      <c r="AR152" s="37">
        <f t="shared" si="24"/>
        <v>0</v>
      </c>
      <c r="AS152" s="37">
        <f t="shared" si="24"/>
        <v>0</v>
      </c>
      <c r="AT152" s="37">
        <f t="shared" si="24"/>
        <v>0</v>
      </c>
      <c r="AU152" s="37">
        <f t="shared" si="24"/>
        <v>0</v>
      </c>
      <c r="AV152" s="37">
        <f t="shared" si="24"/>
        <v>0</v>
      </c>
      <c r="AW152" s="37">
        <f t="shared" si="24"/>
        <v>0</v>
      </c>
      <c r="AX152" s="37">
        <f t="shared" si="24"/>
        <v>0</v>
      </c>
      <c r="AY152" s="64">
        <f t="shared" si="22"/>
        <v>0</v>
      </c>
    </row>
    <row r="153" spans="1:51">
      <c r="A153" s="231">
        <v>3310</v>
      </c>
      <c r="B153" s="4">
        <v>103417</v>
      </c>
      <c r="C153" s="4" t="s">
        <v>821</v>
      </c>
      <c r="D153" s="4" t="s">
        <v>822</v>
      </c>
      <c r="E153" s="4" t="s">
        <v>5</v>
      </c>
      <c r="F153" s="232" t="s">
        <v>411</v>
      </c>
      <c r="H153" s="211">
        <v>7375</v>
      </c>
      <c r="I153" s="212">
        <v>0</v>
      </c>
      <c r="J153" s="212">
        <v>11394</v>
      </c>
      <c r="K153" s="211">
        <v>3262.5</v>
      </c>
      <c r="L153" s="211">
        <v>0</v>
      </c>
      <c r="M153" s="212">
        <v>9375</v>
      </c>
      <c r="N153" s="244">
        <v>0</v>
      </c>
      <c r="O153" s="212">
        <v>0</v>
      </c>
      <c r="P153" s="212">
        <v>0</v>
      </c>
      <c r="Q153" s="212">
        <v>7031</v>
      </c>
      <c r="R153" s="212">
        <v>49950</v>
      </c>
      <c r="S153" s="212">
        <v>4893.75</v>
      </c>
      <c r="T153" s="212">
        <v>400</v>
      </c>
      <c r="U153" s="212"/>
      <c r="V153" s="212">
        <v>0</v>
      </c>
      <c r="W153" s="212">
        <v>0</v>
      </c>
      <c r="X153" s="212">
        <v>9254</v>
      </c>
      <c r="Y153" s="212"/>
      <c r="Z153" s="212"/>
      <c r="AA153" s="212"/>
      <c r="AB153" s="212"/>
      <c r="AC153" s="212"/>
      <c r="AD153" s="212"/>
      <c r="AE153" s="212"/>
      <c r="AF153" s="212"/>
      <c r="AG153" s="212"/>
      <c r="AH153" s="212"/>
      <c r="AI153" s="212"/>
      <c r="AJ153" s="212"/>
      <c r="AK153" s="212"/>
      <c r="AL153" s="212"/>
      <c r="AM153" s="212"/>
      <c r="AN153" s="229">
        <f t="shared" si="21"/>
        <v>102935.25</v>
      </c>
      <c r="AP153" s="37">
        <f t="shared" si="24"/>
        <v>20769</v>
      </c>
      <c r="AQ153" s="37">
        <f t="shared" si="24"/>
        <v>0</v>
      </c>
      <c r="AR153" s="37">
        <f t="shared" si="24"/>
        <v>49950</v>
      </c>
      <c r="AS153" s="37">
        <f t="shared" si="24"/>
        <v>400</v>
      </c>
      <c r="AT153" s="37">
        <f t="shared" si="24"/>
        <v>0</v>
      </c>
      <c r="AU153" s="37">
        <f t="shared" si="24"/>
        <v>0</v>
      </c>
      <c r="AV153" s="37">
        <f t="shared" si="24"/>
        <v>8156.25</v>
      </c>
      <c r="AW153" s="37">
        <f t="shared" si="24"/>
        <v>23660</v>
      </c>
      <c r="AX153" s="37">
        <f t="shared" si="24"/>
        <v>0</v>
      </c>
      <c r="AY153" s="64">
        <f t="shared" si="22"/>
        <v>0</v>
      </c>
    </row>
    <row r="154" spans="1:51">
      <c r="A154" s="231">
        <v>2067</v>
      </c>
      <c r="B154" s="4">
        <v>103196</v>
      </c>
      <c r="C154" s="4" t="s">
        <v>827</v>
      </c>
      <c r="D154" s="4" t="s">
        <v>828</v>
      </c>
      <c r="E154" s="4" t="s">
        <v>5</v>
      </c>
      <c r="F154" s="232" t="s">
        <v>411</v>
      </c>
      <c r="H154" s="211">
        <v>8033</v>
      </c>
      <c r="I154" s="212">
        <v>0</v>
      </c>
      <c r="J154" s="212">
        <v>19428</v>
      </c>
      <c r="K154" s="211">
        <v>5315.63</v>
      </c>
      <c r="L154" s="211">
        <v>0</v>
      </c>
      <c r="M154" s="212">
        <v>15987</v>
      </c>
      <c r="N154" s="244">
        <v>0</v>
      </c>
      <c r="O154" s="212">
        <v>0</v>
      </c>
      <c r="P154" s="212">
        <v>0</v>
      </c>
      <c r="Q154" s="212">
        <v>13800</v>
      </c>
      <c r="R154" s="212">
        <v>35612</v>
      </c>
      <c r="S154" s="212">
        <v>0</v>
      </c>
      <c r="T154" s="212">
        <v>0</v>
      </c>
      <c r="U154" s="212"/>
      <c r="V154" s="212">
        <v>0</v>
      </c>
      <c r="W154" s="212">
        <v>3598</v>
      </c>
      <c r="X154" s="212">
        <v>18928</v>
      </c>
      <c r="Y154" s="212"/>
      <c r="Z154" s="212"/>
      <c r="AA154" s="212"/>
      <c r="AB154" s="212"/>
      <c r="AC154" s="212"/>
      <c r="AD154" s="212"/>
      <c r="AE154" s="212"/>
      <c r="AF154" s="212"/>
      <c r="AG154" s="212"/>
      <c r="AH154" s="212"/>
      <c r="AI154" s="212"/>
      <c r="AJ154" s="212"/>
      <c r="AK154" s="212"/>
      <c r="AL154" s="212"/>
      <c r="AM154" s="212"/>
      <c r="AN154" s="229">
        <f t="shared" si="21"/>
        <v>120701.63</v>
      </c>
      <c r="AP154" s="37">
        <f t="shared" si="24"/>
        <v>39013</v>
      </c>
      <c r="AQ154" s="37">
        <f t="shared" si="24"/>
        <v>0</v>
      </c>
      <c r="AR154" s="37">
        <f t="shared" si="24"/>
        <v>35612</v>
      </c>
      <c r="AS154" s="37">
        <f t="shared" si="24"/>
        <v>0</v>
      </c>
      <c r="AT154" s="37">
        <f t="shared" si="24"/>
        <v>0</v>
      </c>
      <c r="AU154" s="37">
        <f t="shared" si="24"/>
        <v>0</v>
      </c>
      <c r="AV154" s="37">
        <f t="shared" si="24"/>
        <v>5315.63</v>
      </c>
      <c r="AW154" s="37">
        <f t="shared" si="24"/>
        <v>40761</v>
      </c>
      <c r="AX154" s="37">
        <f t="shared" si="24"/>
        <v>0</v>
      </c>
      <c r="AY154" s="64">
        <f t="shared" si="22"/>
        <v>0</v>
      </c>
    </row>
    <row r="155" spans="1:51">
      <c r="A155" s="231">
        <v>2246</v>
      </c>
      <c r="B155" s="4">
        <v>103296</v>
      </c>
      <c r="C155" s="4" t="s">
        <v>830</v>
      </c>
      <c r="D155" s="4" t="s">
        <v>831</v>
      </c>
      <c r="E155" s="4" t="s">
        <v>5</v>
      </c>
      <c r="F155" s="232" t="s">
        <v>411</v>
      </c>
      <c r="H155" s="211">
        <v>8833</v>
      </c>
      <c r="I155" s="212">
        <v>0</v>
      </c>
      <c r="J155" s="212">
        <v>24201</v>
      </c>
      <c r="K155" s="211">
        <v>7529.69</v>
      </c>
      <c r="L155" s="211">
        <v>0</v>
      </c>
      <c r="M155" s="212">
        <v>19936</v>
      </c>
      <c r="N155" s="244">
        <v>0</v>
      </c>
      <c r="O155" s="212">
        <v>0</v>
      </c>
      <c r="P155" s="212">
        <v>0</v>
      </c>
      <c r="Q155" s="212">
        <v>17745</v>
      </c>
      <c r="R155" s="212">
        <v>84747</v>
      </c>
      <c r="S155" s="212">
        <v>8845.75</v>
      </c>
      <c r="T155" s="212">
        <v>200</v>
      </c>
      <c r="U155" s="212"/>
      <c r="V155" s="212">
        <v>0</v>
      </c>
      <c r="W155" s="212">
        <v>0</v>
      </c>
      <c r="X155" s="212">
        <v>36033</v>
      </c>
      <c r="Y155" s="212"/>
      <c r="Z155" s="212"/>
      <c r="AA155" s="212"/>
      <c r="AB155" s="212"/>
      <c r="AC155" s="212"/>
      <c r="AD155" s="212"/>
      <c r="AE155" s="212"/>
      <c r="AF155" s="212"/>
      <c r="AG155" s="212"/>
      <c r="AH155" s="212"/>
      <c r="AI155" s="212"/>
      <c r="AJ155" s="212"/>
      <c r="AK155" s="212"/>
      <c r="AL155" s="212"/>
      <c r="AM155" s="212"/>
      <c r="AN155" s="229">
        <f t="shared" si="21"/>
        <v>208070.44</v>
      </c>
      <c r="AP155" s="37">
        <f t="shared" si="24"/>
        <v>44137</v>
      </c>
      <c r="AQ155" s="37">
        <f t="shared" si="24"/>
        <v>0</v>
      </c>
      <c r="AR155" s="37">
        <f t="shared" si="24"/>
        <v>84747</v>
      </c>
      <c r="AS155" s="37">
        <f t="shared" si="24"/>
        <v>200</v>
      </c>
      <c r="AT155" s="37">
        <f t="shared" si="24"/>
        <v>0</v>
      </c>
      <c r="AU155" s="37">
        <f t="shared" si="24"/>
        <v>0</v>
      </c>
      <c r="AV155" s="37">
        <f t="shared" si="24"/>
        <v>16375.439999999999</v>
      </c>
      <c r="AW155" s="37">
        <f t="shared" si="24"/>
        <v>62611</v>
      </c>
      <c r="AX155" s="37">
        <f t="shared" si="24"/>
        <v>0</v>
      </c>
      <c r="AY155" s="64">
        <f t="shared" si="22"/>
        <v>0</v>
      </c>
    </row>
    <row r="156" spans="1:51">
      <c r="A156" s="231">
        <v>2192</v>
      </c>
      <c r="B156" s="4">
        <v>103268</v>
      </c>
      <c r="C156" s="4" t="s">
        <v>833</v>
      </c>
      <c r="D156" s="4" t="s">
        <v>834</v>
      </c>
      <c r="E156" s="4" t="s">
        <v>5</v>
      </c>
      <c r="F156" s="232" t="s">
        <v>411</v>
      </c>
      <c r="H156" s="211">
        <v>8771</v>
      </c>
      <c r="I156" s="212">
        <v>0</v>
      </c>
      <c r="J156" s="212">
        <v>22253</v>
      </c>
      <c r="K156" s="211">
        <v>6975</v>
      </c>
      <c r="L156" s="211">
        <v>0</v>
      </c>
      <c r="M156" s="212">
        <v>18325</v>
      </c>
      <c r="N156" s="244">
        <v>0</v>
      </c>
      <c r="O156" s="212">
        <v>0</v>
      </c>
      <c r="P156" s="212">
        <v>0</v>
      </c>
      <c r="Q156" s="212">
        <v>0</v>
      </c>
      <c r="R156" s="212">
        <v>82510</v>
      </c>
      <c r="S156" s="212">
        <v>8083.75</v>
      </c>
      <c r="T156" s="212">
        <v>0</v>
      </c>
      <c r="U156" s="212"/>
      <c r="V156" s="212">
        <v>0</v>
      </c>
      <c r="W156" s="212">
        <v>0</v>
      </c>
      <c r="X156" s="212">
        <v>0</v>
      </c>
      <c r="Y156" s="212"/>
      <c r="Z156" s="212"/>
      <c r="AA156" s="212"/>
      <c r="AB156" s="212"/>
      <c r="AC156" s="212"/>
      <c r="AD156" s="212"/>
      <c r="AE156" s="212"/>
      <c r="AF156" s="212"/>
      <c r="AG156" s="212"/>
      <c r="AH156" s="212"/>
      <c r="AI156" s="212"/>
      <c r="AJ156" s="212"/>
      <c r="AK156" s="212"/>
      <c r="AL156" s="212"/>
      <c r="AM156" s="212"/>
      <c r="AN156" s="229">
        <f t="shared" si="21"/>
        <v>146917.75</v>
      </c>
      <c r="AP156" s="37">
        <f t="shared" si="24"/>
        <v>40578</v>
      </c>
      <c r="AQ156" s="37">
        <f t="shared" si="24"/>
        <v>0</v>
      </c>
      <c r="AR156" s="37">
        <f t="shared" si="24"/>
        <v>82510</v>
      </c>
      <c r="AS156" s="37">
        <f t="shared" si="24"/>
        <v>0</v>
      </c>
      <c r="AT156" s="37">
        <f t="shared" si="24"/>
        <v>0</v>
      </c>
      <c r="AU156" s="37">
        <f t="shared" si="24"/>
        <v>0</v>
      </c>
      <c r="AV156" s="37">
        <f t="shared" si="24"/>
        <v>15058.75</v>
      </c>
      <c r="AW156" s="37">
        <f t="shared" si="24"/>
        <v>8771</v>
      </c>
      <c r="AX156" s="37">
        <f t="shared" si="24"/>
        <v>0</v>
      </c>
      <c r="AY156" s="64">
        <f t="shared" si="22"/>
        <v>0</v>
      </c>
    </row>
    <row r="157" spans="1:51">
      <c r="A157" s="231">
        <v>2108</v>
      </c>
      <c r="B157" s="4">
        <v>103217</v>
      </c>
      <c r="C157" s="4" t="s">
        <v>836</v>
      </c>
      <c r="D157" s="4" t="s">
        <v>837</v>
      </c>
      <c r="E157" s="4" t="s">
        <v>5</v>
      </c>
      <c r="F157" s="232" t="s">
        <v>411</v>
      </c>
      <c r="H157" s="211">
        <v>9721</v>
      </c>
      <c r="I157" s="212">
        <v>0</v>
      </c>
      <c r="J157" s="212">
        <v>36995</v>
      </c>
      <c r="K157" s="211">
        <v>9485.94</v>
      </c>
      <c r="L157" s="211">
        <v>0</v>
      </c>
      <c r="M157" s="212">
        <v>30476</v>
      </c>
      <c r="N157" s="244">
        <v>0</v>
      </c>
      <c r="O157" s="212">
        <v>0</v>
      </c>
      <c r="P157" s="212">
        <v>0</v>
      </c>
      <c r="Q157" s="212">
        <v>50955</v>
      </c>
      <c r="R157" s="212">
        <v>126540</v>
      </c>
      <c r="S157" s="212">
        <v>13033.75</v>
      </c>
      <c r="T157" s="212">
        <v>600</v>
      </c>
      <c r="U157" s="212"/>
      <c r="V157" s="212">
        <v>0</v>
      </c>
      <c r="W157" s="212">
        <v>3598</v>
      </c>
      <c r="X157" s="212">
        <v>68981</v>
      </c>
      <c r="Y157" s="212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29">
        <f t="shared" si="21"/>
        <v>350385.69</v>
      </c>
      <c r="AP157" s="37">
        <f t="shared" si="24"/>
        <v>71069</v>
      </c>
      <c r="AQ157" s="37">
        <f t="shared" si="24"/>
        <v>0</v>
      </c>
      <c r="AR157" s="37">
        <f t="shared" si="24"/>
        <v>126540</v>
      </c>
      <c r="AS157" s="37">
        <f t="shared" si="24"/>
        <v>600</v>
      </c>
      <c r="AT157" s="37">
        <f t="shared" si="24"/>
        <v>0</v>
      </c>
      <c r="AU157" s="37">
        <f t="shared" si="24"/>
        <v>0</v>
      </c>
      <c r="AV157" s="37">
        <f t="shared" si="24"/>
        <v>22519.690000000002</v>
      </c>
      <c r="AW157" s="37">
        <f t="shared" si="24"/>
        <v>129657</v>
      </c>
      <c r="AX157" s="37">
        <f t="shared" si="24"/>
        <v>0</v>
      </c>
      <c r="AY157" s="64">
        <f t="shared" si="22"/>
        <v>0</v>
      </c>
    </row>
    <row r="158" spans="1:51">
      <c r="A158" s="231">
        <v>1020</v>
      </c>
      <c r="B158" s="4">
        <v>103133</v>
      </c>
      <c r="C158" s="4" t="s">
        <v>839</v>
      </c>
      <c r="D158" s="4" t="s">
        <v>840</v>
      </c>
      <c r="E158" s="4" t="s">
        <v>180</v>
      </c>
      <c r="F158" s="232" t="s">
        <v>411</v>
      </c>
      <c r="H158" s="211">
        <v>0</v>
      </c>
      <c r="I158" s="212">
        <v>0</v>
      </c>
      <c r="J158" s="212">
        <v>0</v>
      </c>
      <c r="K158" s="211">
        <v>0</v>
      </c>
      <c r="L158" s="211">
        <v>0</v>
      </c>
      <c r="M158" s="212">
        <v>0</v>
      </c>
      <c r="N158" s="244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/>
      <c r="V158" s="212">
        <v>0</v>
      </c>
      <c r="W158" s="212">
        <v>0</v>
      </c>
      <c r="X158" s="212">
        <v>0</v>
      </c>
      <c r="Y158" s="212"/>
      <c r="Z158" s="212"/>
      <c r="AA158" s="212"/>
      <c r="AB158" s="212"/>
      <c r="AC158" s="212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29">
        <f t="shared" si="21"/>
        <v>0</v>
      </c>
      <c r="AP158" s="37">
        <f t="shared" si="24"/>
        <v>0</v>
      </c>
      <c r="AQ158" s="37">
        <f t="shared" si="24"/>
        <v>0</v>
      </c>
      <c r="AR158" s="37">
        <f t="shared" si="24"/>
        <v>0</v>
      </c>
      <c r="AS158" s="37">
        <f t="shared" si="24"/>
        <v>0</v>
      </c>
      <c r="AT158" s="37">
        <f t="shared" si="24"/>
        <v>0</v>
      </c>
      <c r="AU158" s="37">
        <f t="shared" si="24"/>
        <v>0</v>
      </c>
      <c r="AV158" s="37">
        <f t="shared" si="24"/>
        <v>0</v>
      </c>
      <c r="AW158" s="37">
        <f t="shared" si="24"/>
        <v>0</v>
      </c>
      <c r="AX158" s="37">
        <f t="shared" si="24"/>
        <v>0</v>
      </c>
      <c r="AY158" s="64">
        <f t="shared" si="22"/>
        <v>0</v>
      </c>
    </row>
    <row r="159" spans="1:51">
      <c r="A159" s="231">
        <v>1014</v>
      </c>
      <c r="B159" s="4">
        <v>103127</v>
      </c>
      <c r="C159" s="4" t="s">
        <v>842</v>
      </c>
      <c r="D159" s="4" t="s">
        <v>843</v>
      </c>
      <c r="E159" s="4" t="s">
        <v>180</v>
      </c>
      <c r="F159" s="232" t="s">
        <v>411</v>
      </c>
      <c r="H159" s="211">
        <v>0</v>
      </c>
      <c r="I159" s="212">
        <v>0</v>
      </c>
      <c r="J159" s="212">
        <v>0</v>
      </c>
      <c r="K159" s="211">
        <v>0</v>
      </c>
      <c r="L159" s="211">
        <v>0</v>
      </c>
      <c r="M159" s="212">
        <v>0</v>
      </c>
      <c r="N159" s="244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/>
      <c r="V159" s="212">
        <v>0</v>
      </c>
      <c r="W159" s="212">
        <v>0</v>
      </c>
      <c r="X159" s="212">
        <v>0</v>
      </c>
      <c r="Y159" s="212"/>
      <c r="Z159" s="212"/>
      <c r="AA159" s="212"/>
      <c r="AB159" s="212"/>
      <c r="AC159" s="212"/>
      <c r="AD159" s="212"/>
      <c r="AE159" s="212"/>
      <c r="AF159" s="212"/>
      <c r="AG159" s="212"/>
      <c r="AH159" s="212"/>
      <c r="AI159" s="212"/>
      <c r="AJ159" s="212"/>
      <c r="AK159" s="212"/>
      <c r="AL159" s="212"/>
      <c r="AM159" s="212"/>
      <c r="AN159" s="229">
        <f t="shared" si="21"/>
        <v>0</v>
      </c>
      <c r="AP159" s="37">
        <f t="shared" si="24"/>
        <v>0</v>
      </c>
      <c r="AQ159" s="37">
        <f t="shared" si="24"/>
        <v>0</v>
      </c>
      <c r="AR159" s="37">
        <f t="shared" si="24"/>
        <v>0</v>
      </c>
      <c r="AS159" s="37">
        <f t="shared" si="24"/>
        <v>0</v>
      </c>
      <c r="AT159" s="37">
        <f t="shared" si="24"/>
        <v>0</v>
      </c>
      <c r="AU159" s="37">
        <f t="shared" si="24"/>
        <v>0</v>
      </c>
      <c r="AV159" s="37">
        <f t="shared" si="24"/>
        <v>0</v>
      </c>
      <c r="AW159" s="37">
        <f t="shared" si="24"/>
        <v>0</v>
      </c>
      <c r="AX159" s="37">
        <f t="shared" si="24"/>
        <v>0</v>
      </c>
      <c r="AY159" s="64">
        <f t="shared" si="22"/>
        <v>0</v>
      </c>
    </row>
    <row r="160" spans="1:51">
      <c r="A160" s="231">
        <v>2019</v>
      </c>
      <c r="B160" s="4">
        <v>134279</v>
      </c>
      <c r="C160" s="4" t="s">
        <v>845</v>
      </c>
      <c r="D160" s="4" t="s">
        <v>846</v>
      </c>
      <c r="E160" s="4" t="s">
        <v>5</v>
      </c>
      <c r="F160" s="232" t="s">
        <v>411</v>
      </c>
      <c r="H160" s="211">
        <v>8133</v>
      </c>
      <c r="I160" s="212">
        <v>0</v>
      </c>
      <c r="J160" s="212">
        <v>19280</v>
      </c>
      <c r="K160" s="211">
        <v>5456.25</v>
      </c>
      <c r="L160" s="211">
        <v>0</v>
      </c>
      <c r="M160" s="212">
        <v>15874</v>
      </c>
      <c r="N160" s="244">
        <v>0</v>
      </c>
      <c r="O160" s="212">
        <v>0</v>
      </c>
      <c r="P160" s="212">
        <v>0</v>
      </c>
      <c r="Q160" s="212">
        <v>20790</v>
      </c>
      <c r="R160" s="212">
        <v>73800</v>
      </c>
      <c r="S160" s="212">
        <v>7213.75</v>
      </c>
      <c r="T160" s="212">
        <v>200</v>
      </c>
      <c r="U160" s="212"/>
      <c r="V160" s="212">
        <v>0</v>
      </c>
      <c r="W160" s="212">
        <v>0</v>
      </c>
      <c r="X160" s="212">
        <v>25378</v>
      </c>
      <c r="Y160" s="212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29">
        <f t="shared" si="21"/>
        <v>176125</v>
      </c>
      <c r="AP160" s="37">
        <f t="shared" si="24"/>
        <v>35154</v>
      </c>
      <c r="AQ160" s="37">
        <f t="shared" si="24"/>
        <v>0</v>
      </c>
      <c r="AR160" s="37">
        <f t="shared" si="24"/>
        <v>73800</v>
      </c>
      <c r="AS160" s="37">
        <f t="shared" si="24"/>
        <v>200</v>
      </c>
      <c r="AT160" s="37">
        <f t="shared" si="24"/>
        <v>0</v>
      </c>
      <c r="AU160" s="37">
        <f t="shared" si="24"/>
        <v>0</v>
      </c>
      <c r="AV160" s="37">
        <f t="shared" si="24"/>
        <v>12670</v>
      </c>
      <c r="AW160" s="37">
        <f t="shared" si="24"/>
        <v>54301</v>
      </c>
      <c r="AX160" s="37">
        <f t="shared" si="24"/>
        <v>0</v>
      </c>
      <c r="AY160" s="64">
        <f t="shared" si="22"/>
        <v>0</v>
      </c>
    </row>
    <row r="161" spans="1:51">
      <c r="A161" s="231">
        <v>2314</v>
      </c>
      <c r="B161" s="4">
        <v>103334</v>
      </c>
      <c r="C161" s="4" t="s">
        <v>848</v>
      </c>
      <c r="D161" s="4" t="s">
        <v>849</v>
      </c>
      <c r="E161" s="4" t="s">
        <v>5</v>
      </c>
      <c r="F161" s="232" t="s">
        <v>411</v>
      </c>
      <c r="H161" s="211">
        <v>7433</v>
      </c>
      <c r="I161" s="212">
        <v>0</v>
      </c>
      <c r="J161" s="212">
        <v>8996</v>
      </c>
      <c r="K161" s="211">
        <v>1237.5</v>
      </c>
      <c r="L161" s="211">
        <v>0</v>
      </c>
      <c r="M161" s="212">
        <v>7421</v>
      </c>
      <c r="N161" s="244">
        <v>0</v>
      </c>
      <c r="O161" s="212">
        <v>0</v>
      </c>
      <c r="P161" s="212">
        <v>0</v>
      </c>
      <c r="Q161" s="212">
        <v>12679</v>
      </c>
      <c r="R161" s="212">
        <v>18382</v>
      </c>
      <c r="S161" s="212">
        <v>1667.5</v>
      </c>
      <c r="T161" s="212">
        <v>0</v>
      </c>
      <c r="U161" s="212"/>
      <c r="V161" s="212">
        <v>0</v>
      </c>
      <c r="W161" s="212">
        <v>0</v>
      </c>
      <c r="X161" s="212">
        <v>18928</v>
      </c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29">
        <f t="shared" si="21"/>
        <v>76744</v>
      </c>
      <c r="AP161" s="37">
        <f t="shared" si="24"/>
        <v>16417</v>
      </c>
      <c r="AQ161" s="37">
        <f t="shared" si="24"/>
        <v>0</v>
      </c>
      <c r="AR161" s="37">
        <f t="shared" si="24"/>
        <v>18382</v>
      </c>
      <c r="AS161" s="37">
        <f t="shared" si="24"/>
        <v>0</v>
      </c>
      <c r="AT161" s="37">
        <f t="shared" si="24"/>
        <v>0</v>
      </c>
      <c r="AU161" s="37">
        <f t="shared" si="24"/>
        <v>0</v>
      </c>
      <c r="AV161" s="37">
        <f t="shared" si="24"/>
        <v>2905</v>
      </c>
      <c r="AW161" s="37">
        <f t="shared" si="24"/>
        <v>39040</v>
      </c>
      <c r="AX161" s="37">
        <f t="shared" si="24"/>
        <v>0</v>
      </c>
      <c r="AY161" s="64">
        <f t="shared" si="22"/>
        <v>0</v>
      </c>
    </row>
    <row r="162" spans="1:51">
      <c r="A162" s="231">
        <v>2227</v>
      </c>
      <c r="B162" s="4">
        <v>103281</v>
      </c>
      <c r="C162" s="4" t="s">
        <v>851</v>
      </c>
      <c r="D162" s="4" t="s">
        <v>852</v>
      </c>
      <c r="E162" s="4" t="s">
        <v>5</v>
      </c>
      <c r="F162" s="232" t="s">
        <v>411</v>
      </c>
      <c r="H162" s="211">
        <v>8087</v>
      </c>
      <c r="I162" s="212">
        <v>0</v>
      </c>
      <c r="J162" s="212">
        <v>20578</v>
      </c>
      <c r="K162" s="211">
        <v>5428.13</v>
      </c>
      <c r="L162" s="211">
        <v>0</v>
      </c>
      <c r="M162" s="212">
        <v>16939</v>
      </c>
      <c r="N162" s="244">
        <v>0</v>
      </c>
      <c r="O162" s="212">
        <v>0</v>
      </c>
      <c r="P162" s="212">
        <v>0</v>
      </c>
      <c r="Q162" s="212">
        <v>18627</v>
      </c>
      <c r="R162" s="212">
        <v>86917</v>
      </c>
      <c r="S162" s="212">
        <v>8690</v>
      </c>
      <c r="T162" s="212">
        <v>1000</v>
      </c>
      <c r="U162" s="212"/>
      <c r="V162" s="212">
        <v>0</v>
      </c>
      <c r="W162" s="212">
        <v>3598</v>
      </c>
      <c r="X162" s="212">
        <v>22153</v>
      </c>
      <c r="Y162" s="212"/>
      <c r="Z162" s="212"/>
      <c r="AA162" s="212"/>
      <c r="AB162" s="212"/>
      <c r="AC162" s="212"/>
      <c r="AD162" s="212"/>
      <c r="AE162" s="212"/>
      <c r="AF162" s="212"/>
      <c r="AG162" s="212"/>
      <c r="AH162" s="212"/>
      <c r="AI162" s="212"/>
      <c r="AJ162" s="212"/>
      <c r="AK162" s="212"/>
      <c r="AL162" s="212"/>
      <c r="AM162" s="212"/>
      <c r="AN162" s="229">
        <f t="shared" si="21"/>
        <v>192017.13</v>
      </c>
      <c r="AP162" s="37">
        <f t="shared" ref="AP162:AX171" si="25">SUMIF($H$3:$AM$3,AP$6,$H162:$AM162)</f>
        <v>41115</v>
      </c>
      <c r="AQ162" s="37">
        <f t="shared" si="25"/>
        <v>0</v>
      </c>
      <c r="AR162" s="37">
        <f t="shared" si="25"/>
        <v>86917</v>
      </c>
      <c r="AS162" s="37">
        <f t="shared" si="25"/>
        <v>1000</v>
      </c>
      <c r="AT162" s="37">
        <f t="shared" si="25"/>
        <v>0</v>
      </c>
      <c r="AU162" s="37">
        <f t="shared" si="25"/>
        <v>0</v>
      </c>
      <c r="AV162" s="37">
        <f t="shared" si="25"/>
        <v>14118.130000000001</v>
      </c>
      <c r="AW162" s="37">
        <f t="shared" si="25"/>
        <v>48867</v>
      </c>
      <c r="AX162" s="37">
        <f t="shared" si="25"/>
        <v>0</v>
      </c>
      <c r="AY162" s="64">
        <f t="shared" si="22"/>
        <v>0</v>
      </c>
    </row>
    <row r="163" spans="1:51">
      <c r="A163" s="231">
        <v>2231</v>
      </c>
      <c r="B163" s="4">
        <v>103284</v>
      </c>
      <c r="C163" s="4" t="s">
        <v>854</v>
      </c>
      <c r="D163" s="4" t="s">
        <v>855</v>
      </c>
      <c r="E163" s="4" t="s">
        <v>5</v>
      </c>
      <c r="F163" s="232" t="s">
        <v>411</v>
      </c>
      <c r="H163" s="211">
        <v>8217</v>
      </c>
      <c r="I163" s="212">
        <v>0</v>
      </c>
      <c r="J163" s="212">
        <v>18765</v>
      </c>
      <c r="K163" s="211">
        <v>3712.5</v>
      </c>
      <c r="L163" s="211">
        <v>0</v>
      </c>
      <c r="M163" s="212">
        <v>15462</v>
      </c>
      <c r="N163" s="244">
        <v>0</v>
      </c>
      <c r="O163" s="212">
        <v>0</v>
      </c>
      <c r="P163" s="212">
        <v>0</v>
      </c>
      <c r="Q163" s="212">
        <v>17105</v>
      </c>
      <c r="R163" s="212">
        <v>58732</v>
      </c>
      <c r="S163" s="212">
        <v>5727.5</v>
      </c>
      <c r="T163" s="212">
        <v>800</v>
      </c>
      <c r="U163" s="212"/>
      <c r="V163" s="212">
        <v>0</v>
      </c>
      <c r="W163" s="212">
        <v>0</v>
      </c>
      <c r="X163" s="212">
        <v>28462</v>
      </c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29">
        <f t="shared" si="21"/>
        <v>156983</v>
      </c>
      <c r="AP163" s="37">
        <f t="shared" si="25"/>
        <v>34227</v>
      </c>
      <c r="AQ163" s="37">
        <f t="shared" si="25"/>
        <v>0</v>
      </c>
      <c r="AR163" s="37">
        <f t="shared" si="25"/>
        <v>58732</v>
      </c>
      <c r="AS163" s="37">
        <f t="shared" si="25"/>
        <v>800</v>
      </c>
      <c r="AT163" s="37">
        <f t="shared" si="25"/>
        <v>0</v>
      </c>
      <c r="AU163" s="37">
        <f t="shared" si="25"/>
        <v>0</v>
      </c>
      <c r="AV163" s="37">
        <f t="shared" si="25"/>
        <v>9440</v>
      </c>
      <c r="AW163" s="37">
        <f t="shared" si="25"/>
        <v>53784</v>
      </c>
      <c r="AX163" s="37">
        <f t="shared" si="25"/>
        <v>0</v>
      </c>
      <c r="AY163" s="64">
        <f t="shared" si="22"/>
        <v>0</v>
      </c>
    </row>
    <row r="164" spans="1:51">
      <c r="A164" s="231">
        <v>2153</v>
      </c>
      <c r="B164" s="4">
        <v>103243</v>
      </c>
      <c r="C164" s="4" t="s">
        <v>414</v>
      </c>
      <c r="D164" s="4" t="s">
        <v>416</v>
      </c>
      <c r="E164" s="4" t="s">
        <v>5</v>
      </c>
      <c r="F164" s="232" t="s">
        <v>415</v>
      </c>
      <c r="H164" s="211">
        <v>8162</v>
      </c>
      <c r="I164" s="212">
        <v>0</v>
      </c>
      <c r="J164" s="212">
        <v>20268</v>
      </c>
      <c r="K164" s="211">
        <v>6403.13</v>
      </c>
      <c r="L164" s="211">
        <v>0</v>
      </c>
      <c r="M164" s="212">
        <v>16684</v>
      </c>
      <c r="N164" s="244">
        <v>0</v>
      </c>
      <c r="O164" s="212">
        <v>0</v>
      </c>
      <c r="P164" s="212">
        <v>0</v>
      </c>
      <c r="Q164" s="212">
        <v>12818</v>
      </c>
      <c r="R164" s="212">
        <v>86462</v>
      </c>
      <c r="S164" s="212">
        <v>8337.5</v>
      </c>
      <c r="T164" s="212">
        <v>600</v>
      </c>
      <c r="U164" s="212"/>
      <c r="V164" s="212">
        <v>0</v>
      </c>
      <c r="W164" s="212">
        <v>0</v>
      </c>
      <c r="X164" s="212">
        <v>19910</v>
      </c>
      <c r="Y164" s="212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2"/>
      <c r="AK164" s="212"/>
      <c r="AL164" s="212"/>
      <c r="AM164" s="212"/>
      <c r="AN164" s="229">
        <f t="shared" si="21"/>
        <v>179644.63</v>
      </c>
      <c r="AP164" s="37">
        <f t="shared" si="25"/>
        <v>36952</v>
      </c>
      <c r="AQ164" s="37">
        <f t="shared" si="25"/>
        <v>0</v>
      </c>
      <c r="AR164" s="37">
        <f t="shared" si="25"/>
        <v>86462</v>
      </c>
      <c r="AS164" s="37">
        <f t="shared" si="25"/>
        <v>600</v>
      </c>
      <c r="AT164" s="37">
        <f t="shared" si="25"/>
        <v>0</v>
      </c>
      <c r="AU164" s="37">
        <f t="shared" si="25"/>
        <v>0</v>
      </c>
      <c r="AV164" s="37">
        <f t="shared" si="25"/>
        <v>14740.630000000001</v>
      </c>
      <c r="AW164" s="37">
        <f t="shared" si="25"/>
        <v>40890</v>
      </c>
      <c r="AX164" s="37">
        <f t="shared" si="25"/>
        <v>0</v>
      </c>
      <c r="AY164" s="64">
        <f t="shared" si="22"/>
        <v>0</v>
      </c>
    </row>
    <row r="165" spans="1:51">
      <c r="A165" s="231">
        <v>2479</v>
      </c>
      <c r="B165" s="4">
        <v>132074</v>
      </c>
      <c r="C165" s="4" t="s">
        <v>418</v>
      </c>
      <c r="D165" s="4" t="s">
        <v>419</v>
      </c>
      <c r="E165" s="4" t="s">
        <v>5</v>
      </c>
      <c r="F165" s="232" t="s">
        <v>415</v>
      </c>
      <c r="H165" s="211">
        <v>9054</v>
      </c>
      <c r="I165" s="212">
        <v>0</v>
      </c>
      <c r="J165" s="212">
        <v>30149</v>
      </c>
      <c r="K165" s="211">
        <v>7859.38</v>
      </c>
      <c r="L165" s="211">
        <v>0</v>
      </c>
      <c r="M165" s="212">
        <v>24822</v>
      </c>
      <c r="N165" s="244">
        <v>0</v>
      </c>
      <c r="O165" s="212">
        <v>0</v>
      </c>
      <c r="P165" s="212">
        <v>0</v>
      </c>
      <c r="Q165" s="212">
        <v>28021</v>
      </c>
      <c r="R165" s="212">
        <v>119140</v>
      </c>
      <c r="S165" s="212">
        <v>11672.5</v>
      </c>
      <c r="T165" s="212">
        <v>200</v>
      </c>
      <c r="U165" s="212"/>
      <c r="V165" s="212">
        <v>0</v>
      </c>
      <c r="W165" s="212">
        <v>0</v>
      </c>
      <c r="X165" s="212">
        <v>39819</v>
      </c>
      <c r="Y165" s="212"/>
      <c r="Z165" s="212"/>
      <c r="AA165" s="212"/>
      <c r="AB165" s="212"/>
      <c r="AC165" s="212"/>
      <c r="AD165" s="212"/>
      <c r="AE165" s="212"/>
      <c r="AF165" s="212"/>
      <c r="AG165" s="212"/>
      <c r="AH165" s="212"/>
      <c r="AI165" s="212"/>
      <c r="AJ165" s="212"/>
      <c r="AK165" s="212"/>
      <c r="AL165" s="212"/>
      <c r="AM165" s="212"/>
      <c r="AN165" s="229">
        <f t="shared" si="21"/>
        <v>270736.88</v>
      </c>
      <c r="AP165" s="37">
        <f t="shared" si="25"/>
        <v>54971</v>
      </c>
      <c r="AQ165" s="37">
        <f t="shared" si="25"/>
        <v>0</v>
      </c>
      <c r="AR165" s="37">
        <f t="shared" si="25"/>
        <v>119140</v>
      </c>
      <c r="AS165" s="37">
        <f t="shared" si="25"/>
        <v>200</v>
      </c>
      <c r="AT165" s="37">
        <f t="shared" si="25"/>
        <v>0</v>
      </c>
      <c r="AU165" s="37">
        <f t="shared" si="25"/>
        <v>0</v>
      </c>
      <c r="AV165" s="37">
        <f t="shared" si="25"/>
        <v>19531.88</v>
      </c>
      <c r="AW165" s="37">
        <f t="shared" si="25"/>
        <v>76894</v>
      </c>
      <c r="AX165" s="37">
        <f t="shared" si="25"/>
        <v>0</v>
      </c>
      <c r="AY165" s="64">
        <f t="shared" si="22"/>
        <v>0</v>
      </c>
    </row>
    <row r="166" spans="1:51">
      <c r="A166" s="231">
        <v>2239</v>
      </c>
      <c r="B166" s="4">
        <v>103289</v>
      </c>
      <c r="C166" s="4" t="s">
        <v>421</v>
      </c>
      <c r="D166" s="4" t="s">
        <v>422</v>
      </c>
      <c r="E166" s="4" t="s">
        <v>5</v>
      </c>
      <c r="F166" s="232" t="s">
        <v>415</v>
      </c>
      <c r="H166" s="211">
        <v>7146</v>
      </c>
      <c r="I166" s="212">
        <v>0</v>
      </c>
      <c r="J166" s="212">
        <v>8392</v>
      </c>
      <c r="K166" s="211">
        <v>1800</v>
      </c>
      <c r="L166" s="211">
        <v>0</v>
      </c>
      <c r="M166" s="212">
        <v>6912</v>
      </c>
      <c r="N166" s="244">
        <v>0</v>
      </c>
      <c r="O166" s="212">
        <v>0</v>
      </c>
      <c r="P166" s="212">
        <v>0</v>
      </c>
      <c r="Q166" s="212">
        <v>19147</v>
      </c>
      <c r="R166" s="212">
        <v>27095</v>
      </c>
      <c r="S166" s="212">
        <v>2646.25</v>
      </c>
      <c r="T166" s="212">
        <v>600</v>
      </c>
      <c r="U166" s="212"/>
      <c r="V166" s="212">
        <v>0</v>
      </c>
      <c r="W166" s="212">
        <v>0</v>
      </c>
      <c r="X166" s="212">
        <v>25237</v>
      </c>
      <c r="Y166" s="212"/>
      <c r="Z166" s="212"/>
      <c r="AA166" s="212"/>
      <c r="AB166" s="212"/>
      <c r="AC166" s="212"/>
      <c r="AD166" s="212"/>
      <c r="AE166" s="212"/>
      <c r="AF166" s="212"/>
      <c r="AG166" s="212"/>
      <c r="AH166" s="212"/>
      <c r="AI166" s="212"/>
      <c r="AJ166" s="212"/>
      <c r="AK166" s="212"/>
      <c r="AL166" s="212"/>
      <c r="AM166" s="212"/>
      <c r="AN166" s="229">
        <f t="shared" si="21"/>
        <v>98975.25</v>
      </c>
      <c r="AP166" s="37">
        <f t="shared" si="25"/>
        <v>15304</v>
      </c>
      <c r="AQ166" s="37">
        <f t="shared" si="25"/>
        <v>0</v>
      </c>
      <c r="AR166" s="37">
        <f t="shared" si="25"/>
        <v>27095</v>
      </c>
      <c r="AS166" s="37">
        <f t="shared" si="25"/>
        <v>600</v>
      </c>
      <c r="AT166" s="37">
        <f t="shared" si="25"/>
        <v>0</v>
      </c>
      <c r="AU166" s="37">
        <f t="shared" si="25"/>
        <v>0</v>
      </c>
      <c r="AV166" s="37">
        <f t="shared" si="25"/>
        <v>4446.25</v>
      </c>
      <c r="AW166" s="37">
        <f t="shared" si="25"/>
        <v>51530</v>
      </c>
      <c r="AX166" s="37">
        <f t="shared" si="25"/>
        <v>0</v>
      </c>
      <c r="AY166" s="64">
        <f t="shared" si="22"/>
        <v>0</v>
      </c>
    </row>
    <row r="167" spans="1:51">
      <c r="A167" s="231">
        <v>2435</v>
      </c>
      <c r="B167" s="4">
        <v>103362</v>
      </c>
      <c r="C167" s="4" t="s">
        <v>424</v>
      </c>
      <c r="D167" s="4" t="s">
        <v>425</v>
      </c>
      <c r="E167" s="4" t="s">
        <v>5</v>
      </c>
      <c r="F167" s="232" t="s">
        <v>415</v>
      </c>
      <c r="H167" s="211">
        <v>8100</v>
      </c>
      <c r="I167" s="212">
        <v>0</v>
      </c>
      <c r="J167" s="212">
        <v>18423</v>
      </c>
      <c r="K167" s="211">
        <v>5681.25</v>
      </c>
      <c r="L167" s="211">
        <v>0</v>
      </c>
      <c r="M167" s="212">
        <v>15167</v>
      </c>
      <c r="N167" s="244">
        <v>0</v>
      </c>
      <c r="O167" s="212">
        <v>0</v>
      </c>
      <c r="P167" s="212">
        <v>0</v>
      </c>
      <c r="Q167" s="212">
        <v>18287</v>
      </c>
      <c r="R167" s="212">
        <v>71780</v>
      </c>
      <c r="S167" s="212">
        <v>7032.5</v>
      </c>
      <c r="T167" s="212">
        <v>200</v>
      </c>
      <c r="U167" s="212"/>
      <c r="V167" s="212">
        <v>0</v>
      </c>
      <c r="W167" s="212">
        <v>0</v>
      </c>
      <c r="X167" s="212">
        <v>23835</v>
      </c>
      <c r="Y167" s="212"/>
      <c r="Z167" s="212"/>
      <c r="AA167" s="212"/>
      <c r="AB167" s="212"/>
      <c r="AC167" s="212"/>
      <c r="AD167" s="212"/>
      <c r="AE167" s="212"/>
      <c r="AF167" s="212"/>
      <c r="AG167" s="212"/>
      <c r="AH167" s="212"/>
      <c r="AI167" s="212"/>
      <c r="AJ167" s="212"/>
      <c r="AK167" s="212"/>
      <c r="AL167" s="212"/>
      <c r="AM167" s="212"/>
      <c r="AN167" s="229">
        <f t="shared" si="21"/>
        <v>168505.75</v>
      </c>
      <c r="AP167" s="37">
        <f t="shared" si="25"/>
        <v>33590</v>
      </c>
      <c r="AQ167" s="37">
        <f t="shared" si="25"/>
        <v>0</v>
      </c>
      <c r="AR167" s="37">
        <f t="shared" si="25"/>
        <v>71780</v>
      </c>
      <c r="AS167" s="37">
        <f t="shared" si="25"/>
        <v>200</v>
      </c>
      <c r="AT167" s="37">
        <f t="shared" si="25"/>
        <v>0</v>
      </c>
      <c r="AU167" s="37">
        <f t="shared" si="25"/>
        <v>0</v>
      </c>
      <c r="AV167" s="37">
        <f t="shared" si="25"/>
        <v>12713.75</v>
      </c>
      <c r="AW167" s="37">
        <f t="shared" si="25"/>
        <v>50222</v>
      </c>
      <c r="AX167" s="37">
        <f t="shared" si="25"/>
        <v>0</v>
      </c>
      <c r="AY167" s="64">
        <f t="shared" si="22"/>
        <v>0</v>
      </c>
    </row>
    <row r="168" spans="1:51">
      <c r="A168" s="231">
        <v>1001</v>
      </c>
      <c r="B168" s="4">
        <v>103120</v>
      </c>
      <c r="C168" s="4" t="s">
        <v>427</v>
      </c>
      <c r="D168" s="4" t="s">
        <v>428</v>
      </c>
      <c r="E168" s="4" t="s">
        <v>180</v>
      </c>
      <c r="F168" s="232" t="s">
        <v>415</v>
      </c>
      <c r="H168" s="211">
        <v>0</v>
      </c>
      <c r="I168" s="212">
        <v>0</v>
      </c>
      <c r="J168" s="212">
        <v>0</v>
      </c>
      <c r="K168" s="211">
        <v>0</v>
      </c>
      <c r="L168" s="211">
        <v>0</v>
      </c>
      <c r="M168" s="212">
        <v>0</v>
      </c>
      <c r="N168" s="244">
        <v>0</v>
      </c>
      <c r="O168" s="212">
        <v>0</v>
      </c>
      <c r="P168" s="212">
        <v>0</v>
      </c>
      <c r="Q168" s="212">
        <v>0</v>
      </c>
      <c r="R168" s="212">
        <v>0</v>
      </c>
      <c r="S168" s="212">
        <v>0</v>
      </c>
      <c r="T168" s="212">
        <v>0</v>
      </c>
      <c r="U168" s="212"/>
      <c r="V168" s="212">
        <v>0</v>
      </c>
      <c r="W168" s="212">
        <v>0</v>
      </c>
      <c r="X168" s="212">
        <v>0</v>
      </c>
      <c r="Y168" s="212"/>
      <c r="Z168" s="212"/>
      <c r="AA168" s="212"/>
      <c r="AB168" s="212"/>
      <c r="AC168" s="212"/>
      <c r="AD168" s="212"/>
      <c r="AE168" s="212"/>
      <c r="AF168" s="212"/>
      <c r="AG168" s="212"/>
      <c r="AH168" s="212"/>
      <c r="AI168" s="212"/>
      <c r="AJ168" s="212"/>
      <c r="AK168" s="212"/>
      <c r="AL168" s="212"/>
      <c r="AM168" s="212"/>
      <c r="AN168" s="229">
        <f t="shared" ref="AN168:AN199" si="26">SUM(H168:AM168)</f>
        <v>0</v>
      </c>
      <c r="AP168" s="37">
        <f t="shared" si="25"/>
        <v>0</v>
      </c>
      <c r="AQ168" s="37">
        <f t="shared" si="25"/>
        <v>0</v>
      </c>
      <c r="AR168" s="37">
        <f t="shared" si="25"/>
        <v>0</v>
      </c>
      <c r="AS168" s="37">
        <f t="shared" si="25"/>
        <v>0</v>
      </c>
      <c r="AT168" s="37">
        <f t="shared" si="25"/>
        <v>0</v>
      </c>
      <c r="AU168" s="37">
        <f t="shared" si="25"/>
        <v>0</v>
      </c>
      <c r="AV168" s="37">
        <f t="shared" si="25"/>
        <v>0</v>
      </c>
      <c r="AW168" s="37">
        <f t="shared" si="25"/>
        <v>0</v>
      </c>
      <c r="AX168" s="37">
        <f t="shared" si="25"/>
        <v>0</v>
      </c>
      <c r="AY168" s="64">
        <f t="shared" si="22"/>
        <v>0</v>
      </c>
    </row>
    <row r="169" spans="1:51">
      <c r="A169" s="231">
        <v>7030</v>
      </c>
      <c r="B169" s="4">
        <v>103611</v>
      </c>
      <c r="C169" s="4" t="s">
        <v>430</v>
      </c>
      <c r="D169" s="4" t="s">
        <v>431</v>
      </c>
      <c r="E169" s="4" t="s">
        <v>1093</v>
      </c>
      <c r="F169" s="232" t="s">
        <v>415</v>
      </c>
      <c r="H169" s="211">
        <v>0</v>
      </c>
      <c r="I169" s="212">
        <v>45458.9</v>
      </c>
      <c r="J169" s="212">
        <v>0</v>
      </c>
      <c r="K169" s="211">
        <v>2864.06</v>
      </c>
      <c r="L169" s="211">
        <v>0</v>
      </c>
      <c r="M169" s="212">
        <v>0</v>
      </c>
      <c r="N169" s="244">
        <v>0</v>
      </c>
      <c r="O169" s="212">
        <v>0</v>
      </c>
      <c r="P169" s="212">
        <v>0</v>
      </c>
      <c r="Q169" s="212">
        <v>0</v>
      </c>
      <c r="R169" s="212">
        <v>11930</v>
      </c>
      <c r="S169" s="212">
        <v>9246</v>
      </c>
      <c r="T169" s="212">
        <v>0</v>
      </c>
      <c r="U169" s="212"/>
      <c r="V169" s="212">
        <v>34075.07</v>
      </c>
      <c r="W169" s="212">
        <v>0</v>
      </c>
      <c r="X169" s="212">
        <v>0</v>
      </c>
      <c r="Y169" s="212"/>
      <c r="Z169" s="212"/>
      <c r="AA169" s="212"/>
      <c r="AB169" s="212"/>
      <c r="AC169" s="212"/>
      <c r="AD169" s="212"/>
      <c r="AE169" s="212"/>
      <c r="AF169" s="212"/>
      <c r="AG169" s="212"/>
      <c r="AH169" s="212"/>
      <c r="AI169" s="212"/>
      <c r="AJ169" s="212"/>
      <c r="AK169" s="212"/>
      <c r="AL169" s="212"/>
      <c r="AM169" s="212"/>
      <c r="AN169" s="229">
        <f t="shared" si="26"/>
        <v>103574.03</v>
      </c>
      <c r="AP169" s="37">
        <f t="shared" si="25"/>
        <v>79533.97</v>
      </c>
      <c r="AQ169" s="37">
        <f t="shared" si="25"/>
        <v>0</v>
      </c>
      <c r="AR169" s="37">
        <f t="shared" si="25"/>
        <v>11930</v>
      </c>
      <c r="AS169" s="37">
        <f t="shared" si="25"/>
        <v>0</v>
      </c>
      <c r="AT169" s="37">
        <f t="shared" si="25"/>
        <v>0</v>
      </c>
      <c r="AU169" s="37">
        <f t="shared" si="25"/>
        <v>0</v>
      </c>
      <c r="AV169" s="37">
        <f t="shared" si="25"/>
        <v>12110.06</v>
      </c>
      <c r="AW169" s="37">
        <f t="shared" si="25"/>
        <v>0</v>
      </c>
      <c r="AX169" s="37">
        <f t="shared" si="25"/>
        <v>0</v>
      </c>
      <c r="AY169" s="64">
        <f t="shared" si="22"/>
        <v>0</v>
      </c>
    </row>
    <row r="170" spans="1:51">
      <c r="A170" s="231">
        <v>2465</v>
      </c>
      <c r="B170" s="4">
        <v>103391</v>
      </c>
      <c r="C170" s="4" t="s">
        <v>433</v>
      </c>
      <c r="D170" s="4" t="s">
        <v>434</v>
      </c>
      <c r="E170" s="4" t="s">
        <v>5</v>
      </c>
      <c r="F170" s="232" t="s">
        <v>415</v>
      </c>
      <c r="H170" s="211">
        <v>8167</v>
      </c>
      <c r="I170" s="212">
        <v>0</v>
      </c>
      <c r="J170" s="212">
        <v>17824</v>
      </c>
      <c r="K170" s="211">
        <v>3037.5</v>
      </c>
      <c r="L170" s="211">
        <v>0</v>
      </c>
      <c r="M170" s="212">
        <v>14693</v>
      </c>
      <c r="N170" s="244">
        <v>0</v>
      </c>
      <c r="O170" s="212">
        <v>0</v>
      </c>
      <c r="P170" s="212">
        <v>0</v>
      </c>
      <c r="Q170" s="212">
        <v>28581</v>
      </c>
      <c r="R170" s="212">
        <v>48917</v>
      </c>
      <c r="S170" s="212">
        <v>4712.5</v>
      </c>
      <c r="T170" s="212">
        <v>200</v>
      </c>
      <c r="U170" s="212"/>
      <c r="V170" s="212">
        <v>0</v>
      </c>
      <c r="W170" s="212">
        <v>0</v>
      </c>
      <c r="X170" s="212">
        <v>37856</v>
      </c>
      <c r="Y170" s="212"/>
      <c r="Z170" s="212"/>
      <c r="AA170" s="212"/>
      <c r="AB170" s="212"/>
      <c r="AC170" s="212"/>
      <c r="AD170" s="212"/>
      <c r="AE170" s="212"/>
      <c r="AF170" s="212"/>
      <c r="AG170" s="212"/>
      <c r="AH170" s="212"/>
      <c r="AI170" s="212"/>
      <c r="AJ170" s="212"/>
      <c r="AK170" s="212"/>
      <c r="AL170" s="212"/>
      <c r="AM170" s="212"/>
      <c r="AN170" s="229">
        <f t="shared" si="26"/>
        <v>163988</v>
      </c>
      <c r="AP170" s="37">
        <f t="shared" si="25"/>
        <v>32517</v>
      </c>
      <c r="AQ170" s="37">
        <f t="shared" si="25"/>
        <v>0</v>
      </c>
      <c r="AR170" s="37">
        <f t="shared" si="25"/>
        <v>48917</v>
      </c>
      <c r="AS170" s="37">
        <f t="shared" si="25"/>
        <v>200</v>
      </c>
      <c r="AT170" s="37">
        <f t="shared" si="25"/>
        <v>0</v>
      </c>
      <c r="AU170" s="37">
        <f t="shared" si="25"/>
        <v>0</v>
      </c>
      <c r="AV170" s="37">
        <f t="shared" si="25"/>
        <v>7750</v>
      </c>
      <c r="AW170" s="37">
        <f t="shared" si="25"/>
        <v>74604</v>
      </c>
      <c r="AX170" s="37">
        <f t="shared" si="25"/>
        <v>0</v>
      </c>
      <c r="AY170" s="64">
        <f t="shared" si="22"/>
        <v>0</v>
      </c>
    </row>
    <row r="171" spans="1:51">
      <c r="A171" s="231">
        <v>2040</v>
      </c>
      <c r="B171" s="4">
        <v>103178</v>
      </c>
      <c r="C171" s="4" t="s">
        <v>436</v>
      </c>
      <c r="D171" s="4" t="s">
        <v>437</v>
      </c>
      <c r="E171" s="4" t="s">
        <v>5</v>
      </c>
      <c r="F171" s="232" t="s">
        <v>415</v>
      </c>
      <c r="H171" s="211">
        <v>8237</v>
      </c>
      <c r="I171" s="212">
        <v>0</v>
      </c>
      <c r="J171" s="212">
        <v>17280</v>
      </c>
      <c r="K171" s="211">
        <v>2498.44</v>
      </c>
      <c r="L171" s="211">
        <v>0</v>
      </c>
      <c r="M171" s="212">
        <v>14253</v>
      </c>
      <c r="N171" s="244">
        <v>0</v>
      </c>
      <c r="O171" s="212">
        <v>0</v>
      </c>
      <c r="P171" s="212">
        <v>0</v>
      </c>
      <c r="Q171" s="212">
        <v>23193</v>
      </c>
      <c r="R171" s="212">
        <v>38732</v>
      </c>
      <c r="S171" s="212">
        <v>4941.25</v>
      </c>
      <c r="T171" s="212">
        <v>0</v>
      </c>
      <c r="U171" s="212"/>
      <c r="V171" s="212">
        <v>0</v>
      </c>
      <c r="W171" s="212">
        <v>0</v>
      </c>
      <c r="X171" s="212">
        <v>37575</v>
      </c>
      <c r="Y171" s="212"/>
      <c r="Z171" s="212"/>
      <c r="AA171" s="212"/>
      <c r="AB171" s="212"/>
      <c r="AC171" s="212"/>
      <c r="AD171" s="212"/>
      <c r="AE171" s="212"/>
      <c r="AF171" s="212"/>
      <c r="AG171" s="212"/>
      <c r="AH171" s="212"/>
      <c r="AI171" s="212"/>
      <c r="AJ171" s="212"/>
      <c r="AK171" s="212"/>
      <c r="AL171" s="212"/>
      <c r="AM171" s="212"/>
      <c r="AN171" s="229">
        <f t="shared" si="26"/>
        <v>146709.69</v>
      </c>
      <c r="AP171" s="37">
        <f t="shared" si="25"/>
        <v>31533</v>
      </c>
      <c r="AQ171" s="37">
        <f t="shared" si="25"/>
        <v>0</v>
      </c>
      <c r="AR171" s="37">
        <f t="shared" si="25"/>
        <v>38732</v>
      </c>
      <c r="AS171" s="37">
        <f t="shared" si="25"/>
        <v>0</v>
      </c>
      <c r="AT171" s="37">
        <f t="shared" si="25"/>
        <v>0</v>
      </c>
      <c r="AU171" s="37">
        <f t="shared" si="25"/>
        <v>0</v>
      </c>
      <c r="AV171" s="37">
        <f t="shared" si="25"/>
        <v>7439.6900000000005</v>
      </c>
      <c r="AW171" s="37">
        <f t="shared" si="25"/>
        <v>69005</v>
      </c>
      <c r="AX171" s="37">
        <f t="shared" si="25"/>
        <v>0</v>
      </c>
      <c r="AY171" s="64">
        <f t="shared" si="22"/>
        <v>0</v>
      </c>
    </row>
    <row r="172" spans="1:51">
      <c r="A172" s="231">
        <v>1100</v>
      </c>
      <c r="B172" s="4">
        <v>103146</v>
      </c>
      <c r="C172" s="4" t="s">
        <v>439</v>
      </c>
      <c r="D172" s="4" t="s">
        <v>440</v>
      </c>
      <c r="E172" s="4" t="s">
        <v>1094</v>
      </c>
      <c r="F172" s="232" t="s">
        <v>415</v>
      </c>
      <c r="H172" s="211">
        <v>6921</v>
      </c>
      <c r="I172" s="212">
        <v>277538.53999999998</v>
      </c>
      <c r="J172" s="212">
        <v>0</v>
      </c>
      <c r="K172" s="211">
        <v>21810.94</v>
      </c>
      <c r="L172" s="211">
        <v>0</v>
      </c>
      <c r="M172" s="212">
        <v>0</v>
      </c>
      <c r="N172" s="244">
        <v>1200</v>
      </c>
      <c r="O172" s="212">
        <v>0</v>
      </c>
      <c r="P172" s="212">
        <v>0</v>
      </c>
      <c r="Q172" s="212">
        <v>-441</v>
      </c>
      <c r="R172" s="212">
        <v>94177</v>
      </c>
      <c r="S172" s="212">
        <v>52715.5</v>
      </c>
      <c r="T172" s="212">
        <v>200</v>
      </c>
      <c r="U172" s="212"/>
      <c r="V172" s="212">
        <v>208037.28</v>
      </c>
      <c r="W172" s="212">
        <v>0</v>
      </c>
      <c r="X172" s="212">
        <v>562</v>
      </c>
      <c r="Y172" s="212"/>
      <c r="Z172" s="212"/>
      <c r="AA172" s="212"/>
      <c r="AB172" s="212"/>
      <c r="AC172" s="212"/>
      <c r="AD172" s="212"/>
      <c r="AE172" s="212"/>
      <c r="AF172" s="212"/>
      <c r="AG172" s="212"/>
      <c r="AH172" s="212"/>
      <c r="AI172" s="212"/>
      <c r="AJ172" s="212"/>
      <c r="AK172" s="212"/>
      <c r="AL172" s="212"/>
      <c r="AM172" s="212"/>
      <c r="AN172" s="229">
        <f t="shared" si="26"/>
        <v>662721.26</v>
      </c>
      <c r="AP172" s="37">
        <f t="shared" ref="AP172:AX181" si="27">SUMIF($H$3:$AM$3,AP$6,$H172:$AM172)</f>
        <v>485575.81999999995</v>
      </c>
      <c r="AQ172" s="37">
        <f t="shared" si="27"/>
        <v>0</v>
      </c>
      <c r="AR172" s="37">
        <f t="shared" si="27"/>
        <v>94177</v>
      </c>
      <c r="AS172" s="37">
        <f t="shared" si="27"/>
        <v>1400</v>
      </c>
      <c r="AT172" s="37">
        <f t="shared" si="27"/>
        <v>0</v>
      </c>
      <c r="AU172" s="37">
        <f t="shared" si="27"/>
        <v>0</v>
      </c>
      <c r="AV172" s="37">
        <f t="shared" si="27"/>
        <v>74526.44</v>
      </c>
      <c r="AW172" s="37">
        <f t="shared" si="27"/>
        <v>7042</v>
      </c>
      <c r="AX172" s="37">
        <f t="shared" si="27"/>
        <v>0</v>
      </c>
      <c r="AY172" s="64">
        <f t="shared" si="22"/>
        <v>0</v>
      </c>
    </row>
    <row r="173" spans="1:51">
      <c r="A173" s="231">
        <v>3432</v>
      </c>
      <c r="B173" s="4">
        <v>134840</v>
      </c>
      <c r="C173" s="4" t="s">
        <v>442</v>
      </c>
      <c r="D173" s="4" t="s">
        <v>443</v>
      </c>
      <c r="E173" s="4" t="s">
        <v>5</v>
      </c>
      <c r="F173" s="232" t="s">
        <v>415</v>
      </c>
      <c r="H173" s="211">
        <v>9542</v>
      </c>
      <c r="I173" s="212">
        <v>0</v>
      </c>
      <c r="J173" s="212">
        <v>37432</v>
      </c>
      <c r="K173" s="211">
        <v>10321.879999999999</v>
      </c>
      <c r="L173" s="211">
        <v>0</v>
      </c>
      <c r="M173" s="212">
        <v>30812</v>
      </c>
      <c r="N173" s="244">
        <v>0</v>
      </c>
      <c r="O173" s="212">
        <v>0</v>
      </c>
      <c r="P173" s="212">
        <v>0</v>
      </c>
      <c r="Q173" s="212">
        <v>20849</v>
      </c>
      <c r="R173" s="212">
        <v>157250</v>
      </c>
      <c r="S173" s="212">
        <v>15406.25</v>
      </c>
      <c r="T173" s="212">
        <v>200</v>
      </c>
      <c r="U173" s="212"/>
      <c r="V173" s="212">
        <v>0</v>
      </c>
      <c r="W173" s="212">
        <v>3598</v>
      </c>
      <c r="X173" s="212">
        <v>36454</v>
      </c>
      <c r="Y173" s="212"/>
      <c r="Z173" s="212"/>
      <c r="AA173" s="212"/>
      <c r="AB173" s="212"/>
      <c r="AC173" s="212"/>
      <c r="AD173" s="212"/>
      <c r="AE173" s="212"/>
      <c r="AF173" s="212"/>
      <c r="AG173" s="212"/>
      <c r="AH173" s="212"/>
      <c r="AI173" s="212"/>
      <c r="AJ173" s="212"/>
      <c r="AK173" s="212"/>
      <c r="AL173" s="212"/>
      <c r="AM173" s="212"/>
      <c r="AN173" s="229">
        <f t="shared" si="26"/>
        <v>321865.13</v>
      </c>
      <c r="AP173" s="37">
        <f t="shared" si="27"/>
        <v>71842</v>
      </c>
      <c r="AQ173" s="37">
        <f t="shared" si="27"/>
        <v>0</v>
      </c>
      <c r="AR173" s="37">
        <f t="shared" si="27"/>
        <v>157250</v>
      </c>
      <c r="AS173" s="37">
        <f t="shared" si="27"/>
        <v>200</v>
      </c>
      <c r="AT173" s="37">
        <f t="shared" si="27"/>
        <v>0</v>
      </c>
      <c r="AU173" s="37">
        <f t="shared" si="27"/>
        <v>0</v>
      </c>
      <c r="AV173" s="37">
        <f t="shared" si="27"/>
        <v>25728.129999999997</v>
      </c>
      <c r="AW173" s="37">
        <f t="shared" si="27"/>
        <v>66845</v>
      </c>
      <c r="AX173" s="37">
        <f t="shared" si="27"/>
        <v>0</v>
      </c>
      <c r="AY173" s="64">
        <f t="shared" si="22"/>
        <v>0</v>
      </c>
    </row>
    <row r="174" spans="1:51">
      <c r="A174" s="231">
        <v>2185</v>
      </c>
      <c r="B174" s="4">
        <v>103263</v>
      </c>
      <c r="C174" s="4" t="s">
        <v>445</v>
      </c>
      <c r="D174" s="4" t="s">
        <v>446</v>
      </c>
      <c r="E174" s="4" t="s">
        <v>5</v>
      </c>
      <c r="F174" s="232" t="s">
        <v>415</v>
      </c>
      <c r="H174" s="211">
        <v>8179</v>
      </c>
      <c r="I174" s="212">
        <v>0</v>
      </c>
      <c r="J174" s="212">
        <v>17983</v>
      </c>
      <c r="K174" s="211">
        <v>3543.75</v>
      </c>
      <c r="L174" s="211">
        <v>0</v>
      </c>
      <c r="M174" s="212">
        <v>14823</v>
      </c>
      <c r="N174" s="244">
        <v>0</v>
      </c>
      <c r="O174" s="212">
        <v>0</v>
      </c>
      <c r="P174" s="212">
        <v>0</v>
      </c>
      <c r="Q174" s="212">
        <v>21852</v>
      </c>
      <c r="R174" s="212">
        <v>51507</v>
      </c>
      <c r="S174" s="212">
        <v>4966.25</v>
      </c>
      <c r="T174" s="212">
        <v>800</v>
      </c>
      <c r="U174" s="212"/>
      <c r="V174" s="212">
        <v>0</v>
      </c>
      <c r="W174" s="212">
        <v>0</v>
      </c>
      <c r="X174" s="212">
        <v>32949</v>
      </c>
      <c r="Y174" s="212"/>
      <c r="Z174" s="212"/>
      <c r="AA174" s="212"/>
      <c r="AB174" s="212"/>
      <c r="AC174" s="212"/>
      <c r="AD174" s="212"/>
      <c r="AE174" s="212"/>
      <c r="AF174" s="212"/>
      <c r="AG174" s="212"/>
      <c r="AH174" s="212"/>
      <c r="AI174" s="212"/>
      <c r="AJ174" s="212"/>
      <c r="AK174" s="212"/>
      <c r="AL174" s="212"/>
      <c r="AM174" s="212"/>
      <c r="AN174" s="229">
        <f t="shared" si="26"/>
        <v>156603</v>
      </c>
      <c r="AP174" s="37">
        <f t="shared" si="27"/>
        <v>32806</v>
      </c>
      <c r="AQ174" s="37">
        <f t="shared" si="27"/>
        <v>0</v>
      </c>
      <c r="AR174" s="37">
        <f t="shared" si="27"/>
        <v>51507</v>
      </c>
      <c r="AS174" s="37">
        <f t="shared" si="27"/>
        <v>800</v>
      </c>
      <c r="AT174" s="37">
        <f t="shared" si="27"/>
        <v>0</v>
      </c>
      <c r="AU174" s="37">
        <f t="shared" si="27"/>
        <v>0</v>
      </c>
      <c r="AV174" s="37">
        <f t="shared" si="27"/>
        <v>8510</v>
      </c>
      <c r="AW174" s="37">
        <f t="shared" si="27"/>
        <v>62980</v>
      </c>
      <c r="AX174" s="37">
        <f t="shared" si="27"/>
        <v>0</v>
      </c>
      <c r="AY174" s="64">
        <f t="shared" si="22"/>
        <v>0</v>
      </c>
    </row>
    <row r="175" spans="1:51">
      <c r="A175" s="231">
        <v>2464</v>
      </c>
      <c r="B175" s="4">
        <v>103390</v>
      </c>
      <c r="C175" s="4" t="s">
        <v>448</v>
      </c>
      <c r="D175" s="4" t="s">
        <v>449</v>
      </c>
      <c r="E175" s="4" t="s">
        <v>5</v>
      </c>
      <c r="F175" s="232" t="s">
        <v>415</v>
      </c>
      <c r="H175" s="211">
        <v>8175</v>
      </c>
      <c r="I175" s="212">
        <v>0</v>
      </c>
      <c r="J175" s="212">
        <v>14927</v>
      </c>
      <c r="K175" s="211">
        <v>731.25</v>
      </c>
      <c r="L175" s="211">
        <v>0</v>
      </c>
      <c r="M175" s="212">
        <v>12329</v>
      </c>
      <c r="N175" s="244">
        <v>0</v>
      </c>
      <c r="O175" s="212">
        <v>0</v>
      </c>
      <c r="P175" s="212">
        <v>0</v>
      </c>
      <c r="Q175" s="212">
        <v>32006</v>
      </c>
      <c r="R175" s="212">
        <v>11177</v>
      </c>
      <c r="S175" s="212">
        <v>1015</v>
      </c>
      <c r="T175" s="212">
        <v>1200</v>
      </c>
      <c r="U175" s="212"/>
      <c r="V175" s="212">
        <v>0</v>
      </c>
      <c r="W175" s="212">
        <v>0</v>
      </c>
      <c r="X175" s="212">
        <v>43043</v>
      </c>
      <c r="Y175" s="212"/>
      <c r="Z175" s="212"/>
      <c r="AA175" s="212"/>
      <c r="AB175" s="212"/>
      <c r="AC175" s="212"/>
      <c r="AD175" s="212"/>
      <c r="AE175" s="212"/>
      <c r="AF175" s="212"/>
      <c r="AG175" s="212"/>
      <c r="AH175" s="212"/>
      <c r="AI175" s="212"/>
      <c r="AJ175" s="212"/>
      <c r="AK175" s="212"/>
      <c r="AL175" s="212"/>
      <c r="AM175" s="212"/>
      <c r="AN175" s="229">
        <f t="shared" si="26"/>
        <v>124603.25</v>
      </c>
      <c r="AP175" s="37">
        <f t="shared" si="27"/>
        <v>27256</v>
      </c>
      <c r="AQ175" s="37">
        <f t="shared" si="27"/>
        <v>0</v>
      </c>
      <c r="AR175" s="37">
        <f t="shared" si="27"/>
        <v>11177</v>
      </c>
      <c r="AS175" s="37">
        <f t="shared" si="27"/>
        <v>1200</v>
      </c>
      <c r="AT175" s="37">
        <f t="shared" si="27"/>
        <v>0</v>
      </c>
      <c r="AU175" s="37">
        <f t="shared" si="27"/>
        <v>0</v>
      </c>
      <c r="AV175" s="37">
        <f t="shared" si="27"/>
        <v>1746.25</v>
      </c>
      <c r="AW175" s="37">
        <f t="shared" si="27"/>
        <v>83224</v>
      </c>
      <c r="AX175" s="37">
        <f t="shared" si="27"/>
        <v>0</v>
      </c>
      <c r="AY175" s="64">
        <f t="shared" si="22"/>
        <v>0</v>
      </c>
    </row>
    <row r="176" spans="1:51">
      <c r="A176" s="231">
        <v>2454</v>
      </c>
      <c r="B176" s="4">
        <v>103381</v>
      </c>
      <c r="C176" s="4" t="s">
        <v>454</v>
      </c>
      <c r="D176" s="4" t="s">
        <v>455</v>
      </c>
      <c r="E176" s="4" t="s">
        <v>5</v>
      </c>
      <c r="F176" s="232" t="s">
        <v>415</v>
      </c>
      <c r="H176" s="211">
        <v>7954</v>
      </c>
      <c r="I176" s="212">
        <v>0</v>
      </c>
      <c r="J176" s="212">
        <v>18628</v>
      </c>
      <c r="K176" s="211">
        <v>5821.88</v>
      </c>
      <c r="L176" s="211">
        <v>0</v>
      </c>
      <c r="M176" s="212">
        <v>15328</v>
      </c>
      <c r="N176" s="244">
        <v>0</v>
      </c>
      <c r="O176" s="212">
        <v>0</v>
      </c>
      <c r="P176" s="212">
        <v>0</v>
      </c>
      <c r="Q176" s="212">
        <v>11016</v>
      </c>
      <c r="R176" s="212">
        <v>84612</v>
      </c>
      <c r="S176" s="212">
        <v>8156.25</v>
      </c>
      <c r="T176" s="212">
        <v>200</v>
      </c>
      <c r="U176" s="212"/>
      <c r="V176" s="212">
        <v>0</v>
      </c>
      <c r="W176" s="212">
        <v>0</v>
      </c>
      <c r="X176" s="212">
        <v>13460</v>
      </c>
      <c r="Y176" s="212"/>
      <c r="Z176" s="212"/>
      <c r="AA176" s="212"/>
      <c r="AB176" s="212"/>
      <c r="AC176" s="212"/>
      <c r="AD176" s="212"/>
      <c r="AE176" s="212"/>
      <c r="AF176" s="212"/>
      <c r="AG176" s="212"/>
      <c r="AH176" s="212"/>
      <c r="AI176" s="212"/>
      <c r="AJ176" s="212"/>
      <c r="AK176" s="212"/>
      <c r="AL176" s="212"/>
      <c r="AM176" s="212"/>
      <c r="AN176" s="229">
        <f t="shared" si="26"/>
        <v>165176.13</v>
      </c>
      <c r="AP176" s="37">
        <f t="shared" si="27"/>
        <v>33956</v>
      </c>
      <c r="AQ176" s="37">
        <f t="shared" si="27"/>
        <v>0</v>
      </c>
      <c r="AR176" s="37">
        <f t="shared" si="27"/>
        <v>84612</v>
      </c>
      <c r="AS176" s="37">
        <f t="shared" si="27"/>
        <v>200</v>
      </c>
      <c r="AT176" s="37">
        <f t="shared" si="27"/>
        <v>0</v>
      </c>
      <c r="AU176" s="37">
        <f t="shared" si="27"/>
        <v>0</v>
      </c>
      <c r="AV176" s="37">
        <f t="shared" si="27"/>
        <v>13978.130000000001</v>
      </c>
      <c r="AW176" s="37">
        <f t="shared" si="27"/>
        <v>32430</v>
      </c>
      <c r="AX176" s="37">
        <f t="shared" si="27"/>
        <v>0</v>
      </c>
      <c r="AY176" s="64">
        <f t="shared" si="22"/>
        <v>0</v>
      </c>
    </row>
    <row r="177" spans="1:51">
      <c r="A177" s="231">
        <v>3321</v>
      </c>
      <c r="B177" s="4">
        <v>103425</v>
      </c>
      <c r="C177" s="4" t="s">
        <v>457</v>
      </c>
      <c r="D177" s="4" t="s">
        <v>458</v>
      </c>
      <c r="E177" s="4" t="s">
        <v>5</v>
      </c>
      <c r="F177" s="232" t="s">
        <v>415</v>
      </c>
      <c r="H177" s="211">
        <v>8079</v>
      </c>
      <c r="I177" s="212">
        <v>0</v>
      </c>
      <c r="J177" s="212">
        <v>16315</v>
      </c>
      <c r="K177" s="211">
        <v>4190.63</v>
      </c>
      <c r="L177" s="211">
        <v>0</v>
      </c>
      <c r="M177" s="212">
        <v>13440</v>
      </c>
      <c r="N177" s="244">
        <v>0</v>
      </c>
      <c r="O177" s="212">
        <v>0</v>
      </c>
      <c r="P177" s="212">
        <v>0</v>
      </c>
      <c r="Q177" s="212">
        <v>16985</v>
      </c>
      <c r="R177" s="212">
        <v>53552</v>
      </c>
      <c r="S177" s="212">
        <v>5220</v>
      </c>
      <c r="T177" s="212">
        <v>0</v>
      </c>
      <c r="U177" s="212"/>
      <c r="V177" s="212">
        <v>0</v>
      </c>
      <c r="W177" s="212">
        <v>0</v>
      </c>
      <c r="X177" s="212">
        <v>22994</v>
      </c>
      <c r="Y177" s="212"/>
      <c r="Z177" s="212"/>
      <c r="AA177" s="212"/>
      <c r="AB177" s="212"/>
      <c r="AC177" s="212"/>
      <c r="AD177" s="212"/>
      <c r="AE177" s="212"/>
      <c r="AF177" s="212"/>
      <c r="AG177" s="212"/>
      <c r="AH177" s="212"/>
      <c r="AI177" s="212"/>
      <c r="AJ177" s="212"/>
      <c r="AK177" s="212"/>
      <c r="AL177" s="212"/>
      <c r="AM177" s="212"/>
      <c r="AN177" s="229">
        <f t="shared" si="26"/>
        <v>140775.63</v>
      </c>
      <c r="AP177" s="37">
        <f t="shared" si="27"/>
        <v>29755</v>
      </c>
      <c r="AQ177" s="37">
        <f t="shared" si="27"/>
        <v>0</v>
      </c>
      <c r="AR177" s="37">
        <f t="shared" si="27"/>
        <v>53552</v>
      </c>
      <c r="AS177" s="37">
        <f t="shared" si="27"/>
        <v>0</v>
      </c>
      <c r="AT177" s="37">
        <f t="shared" si="27"/>
        <v>0</v>
      </c>
      <c r="AU177" s="37">
        <f t="shared" si="27"/>
        <v>0</v>
      </c>
      <c r="AV177" s="37">
        <f t="shared" si="27"/>
        <v>9410.630000000001</v>
      </c>
      <c r="AW177" s="37">
        <f t="shared" si="27"/>
        <v>48058</v>
      </c>
      <c r="AX177" s="37">
        <f t="shared" si="27"/>
        <v>0</v>
      </c>
      <c r="AY177" s="64">
        <f t="shared" si="22"/>
        <v>0</v>
      </c>
    </row>
    <row r="178" spans="1:51">
      <c r="A178" s="231">
        <v>3435</v>
      </c>
      <c r="B178" s="4">
        <v>131920</v>
      </c>
      <c r="C178" s="4" t="s">
        <v>460</v>
      </c>
      <c r="D178" s="4" t="s">
        <v>461</v>
      </c>
      <c r="E178" s="4" t="s">
        <v>5</v>
      </c>
      <c r="F178" s="232" t="s">
        <v>415</v>
      </c>
      <c r="H178" s="211">
        <v>8171</v>
      </c>
      <c r="I178" s="212">
        <v>0</v>
      </c>
      <c r="J178" s="212">
        <v>15192</v>
      </c>
      <c r="K178" s="211">
        <v>900</v>
      </c>
      <c r="L178" s="211">
        <v>0</v>
      </c>
      <c r="M178" s="212">
        <v>12547</v>
      </c>
      <c r="N178" s="244">
        <v>0</v>
      </c>
      <c r="O178" s="212">
        <v>0</v>
      </c>
      <c r="P178" s="212">
        <v>0</v>
      </c>
      <c r="Q178" s="212">
        <v>33748</v>
      </c>
      <c r="R178" s="212">
        <v>13942</v>
      </c>
      <c r="S178" s="212">
        <v>1232.5</v>
      </c>
      <c r="T178" s="212">
        <v>0</v>
      </c>
      <c r="U178" s="212"/>
      <c r="V178" s="212">
        <v>0</v>
      </c>
      <c r="W178" s="212">
        <v>0</v>
      </c>
      <c r="X178" s="212">
        <v>47249</v>
      </c>
      <c r="Y178" s="212"/>
      <c r="Z178" s="212"/>
      <c r="AA178" s="212"/>
      <c r="AB178" s="212"/>
      <c r="AC178" s="212"/>
      <c r="AD178" s="212"/>
      <c r="AE178" s="212"/>
      <c r="AF178" s="212"/>
      <c r="AG178" s="212"/>
      <c r="AH178" s="212"/>
      <c r="AI178" s="212"/>
      <c r="AJ178" s="212"/>
      <c r="AK178" s="212"/>
      <c r="AL178" s="212"/>
      <c r="AM178" s="212"/>
      <c r="AN178" s="229">
        <f t="shared" si="26"/>
        <v>132981.5</v>
      </c>
      <c r="AP178" s="37">
        <f t="shared" si="27"/>
        <v>27739</v>
      </c>
      <c r="AQ178" s="37">
        <f t="shared" si="27"/>
        <v>0</v>
      </c>
      <c r="AR178" s="37">
        <f t="shared" si="27"/>
        <v>13942</v>
      </c>
      <c r="AS178" s="37">
        <f t="shared" si="27"/>
        <v>0</v>
      </c>
      <c r="AT178" s="37">
        <f t="shared" si="27"/>
        <v>0</v>
      </c>
      <c r="AU178" s="37">
        <f t="shared" si="27"/>
        <v>0</v>
      </c>
      <c r="AV178" s="37">
        <f t="shared" si="27"/>
        <v>2132.5</v>
      </c>
      <c r="AW178" s="37">
        <f t="shared" si="27"/>
        <v>89168</v>
      </c>
      <c r="AX178" s="37">
        <f t="shared" si="27"/>
        <v>0</v>
      </c>
      <c r="AY178" s="64">
        <f t="shared" si="22"/>
        <v>0</v>
      </c>
    </row>
    <row r="179" spans="1:51">
      <c r="A179" s="231">
        <v>7050</v>
      </c>
      <c r="B179" s="4">
        <v>103625</v>
      </c>
      <c r="C179" s="4" t="s">
        <v>463</v>
      </c>
      <c r="D179" s="4" t="s">
        <v>464</v>
      </c>
      <c r="E179" s="4" t="s">
        <v>1093</v>
      </c>
      <c r="F179" s="232" t="s">
        <v>415</v>
      </c>
      <c r="H179" s="211">
        <v>0</v>
      </c>
      <c r="I179" s="212">
        <v>66393.919999999998</v>
      </c>
      <c r="J179" s="212">
        <v>0</v>
      </c>
      <c r="K179" s="211">
        <v>3598.44</v>
      </c>
      <c r="L179" s="211">
        <v>0</v>
      </c>
      <c r="M179" s="212">
        <v>0</v>
      </c>
      <c r="N179" s="244">
        <v>0</v>
      </c>
      <c r="O179" s="212">
        <v>0</v>
      </c>
      <c r="P179" s="212">
        <v>0</v>
      </c>
      <c r="Q179" s="212">
        <v>0</v>
      </c>
      <c r="R179" s="212">
        <v>12862</v>
      </c>
      <c r="S179" s="212">
        <v>10350</v>
      </c>
      <c r="T179" s="212">
        <v>0</v>
      </c>
      <c r="U179" s="212"/>
      <c r="V179" s="212">
        <v>49767.54</v>
      </c>
      <c r="W179" s="212">
        <v>0</v>
      </c>
      <c r="X179" s="212">
        <v>0</v>
      </c>
      <c r="Y179" s="212"/>
      <c r="Z179" s="212"/>
      <c r="AA179" s="212"/>
      <c r="AB179" s="212"/>
      <c r="AC179" s="212"/>
      <c r="AD179" s="212"/>
      <c r="AE179" s="212"/>
      <c r="AF179" s="212"/>
      <c r="AG179" s="212"/>
      <c r="AH179" s="212"/>
      <c r="AI179" s="212"/>
      <c r="AJ179" s="212"/>
      <c r="AK179" s="212"/>
      <c r="AL179" s="212"/>
      <c r="AM179" s="212"/>
      <c r="AN179" s="229">
        <f t="shared" si="26"/>
        <v>142971.9</v>
      </c>
      <c r="AP179" s="37">
        <f t="shared" si="27"/>
        <v>116161.45999999999</v>
      </c>
      <c r="AQ179" s="37">
        <f t="shared" si="27"/>
        <v>0</v>
      </c>
      <c r="AR179" s="37">
        <f t="shared" si="27"/>
        <v>12862</v>
      </c>
      <c r="AS179" s="37">
        <f t="shared" si="27"/>
        <v>0</v>
      </c>
      <c r="AT179" s="37">
        <f t="shared" si="27"/>
        <v>0</v>
      </c>
      <c r="AU179" s="37">
        <f t="shared" si="27"/>
        <v>0</v>
      </c>
      <c r="AV179" s="37">
        <f t="shared" si="27"/>
        <v>13948.44</v>
      </c>
      <c r="AW179" s="37">
        <f t="shared" si="27"/>
        <v>0</v>
      </c>
      <c r="AX179" s="37">
        <f t="shared" si="27"/>
        <v>0</v>
      </c>
      <c r="AY179" s="64">
        <f t="shared" si="22"/>
        <v>0</v>
      </c>
    </row>
    <row r="180" spans="1:51">
      <c r="A180" s="231">
        <v>2081</v>
      </c>
      <c r="B180" s="4">
        <v>103201</v>
      </c>
      <c r="C180" s="4" t="s">
        <v>466</v>
      </c>
      <c r="D180" s="4" t="s">
        <v>467</v>
      </c>
      <c r="E180" s="4" t="s">
        <v>5</v>
      </c>
      <c r="F180" s="232" t="s">
        <v>415</v>
      </c>
      <c r="H180" s="211">
        <v>8146</v>
      </c>
      <c r="I180" s="212">
        <v>0</v>
      </c>
      <c r="J180" s="212">
        <v>18193</v>
      </c>
      <c r="K180" s="211">
        <v>3768.75</v>
      </c>
      <c r="L180" s="211">
        <v>0</v>
      </c>
      <c r="M180" s="212">
        <v>14992</v>
      </c>
      <c r="N180" s="244">
        <v>0</v>
      </c>
      <c r="O180" s="212">
        <v>0</v>
      </c>
      <c r="P180" s="212">
        <v>0</v>
      </c>
      <c r="Q180" s="212">
        <v>23314</v>
      </c>
      <c r="R180" s="212">
        <v>55850</v>
      </c>
      <c r="S180" s="212">
        <v>5365</v>
      </c>
      <c r="T180" s="212">
        <v>0</v>
      </c>
      <c r="U180" s="212"/>
      <c r="V180" s="212">
        <v>0</v>
      </c>
      <c r="W180" s="212">
        <v>0</v>
      </c>
      <c r="X180" s="212">
        <v>30285</v>
      </c>
      <c r="Y180" s="212"/>
      <c r="Z180" s="212"/>
      <c r="AA180" s="212"/>
      <c r="AB180" s="212"/>
      <c r="AC180" s="212"/>
      <c r="AD180" s="212"/>
      <c r="AE180" s="212"/>
      <c r="AF180" s="212"/>
      <c r="AG180" s="212"/>
      <c r="AH180" s="212"/>
      <c r="AI180" s="212"/>
      <c r="AJ180" s="212"/>
      <c r="AK180" s="212"/>
      <c r="AL180" s="212"/>
      <c r="AM180" s="212"/>
      <c r="AN180" s="229">
        <f t="shared" si="26"/>
        <v>159913.75</v>
      </c>
      <c r="AP180" s="37">
        <f t="shared" si="27"/>
        <v>33185</v>
      </c>
      <c r="AQ180" s="37">
        <f t="shared" si="27"/>
        <v>0</v>
      </c>
      <c r="AR180" s="37">
        <f t="shared" si="27"/>
        <v>55850</v>
      </c>
      <c r="AS180" s="37">
        <f t="shared" si="27"/>
        <v>0</v>
      </c>
      <c r="AT180" s="37">
        <f t="shared" si="27"/>
        <v>0</v>
      </c>
      <c r="AU180" s="37">
        <f t="shared" si="27"/>
        <v>0</v>
      </c>
      <c r="AV180" s="37">
        <f t="shared" si="27"/>
        <v>9133.75</v>
      </c>
      <c r="AW180" s="37">
        <f t="shared" si="27"/>
        <v>61745</v>
      </c>
      <c r="AX180" s="37">
        <f t="shared" si="27"/>
        <v>0</v>
      </c>
      <c r="AY180" s="64">
        <f t="shared" si="22"/>
        <v>0</v>
      </c>
    </row>
    <row r="181" spans="1:51">
      <c r="A181" s="231">
        <v>2093</v>
      </c>
      <c r="B181" s="4">
        <v>103210</v>
      </c>
      <c r="C181" s="4" t="s">
        <v>469</v>
      </c>
      <c r="D181" s="4" t="s">
        <v>470</v>
      </c>
      <c r="E181" s="4" t="s">
        <v>5</v>
      </c>
      <c r="F181" s="232" t="s">
        <v>415</v>
      </c>
      <c r="H181" s="211">
        <v>7667</v>
      </c>
      <c r="I181" s="212">
        <v>0</v>
      </c>
      <c r="J181" s="212">
        <v>14208</v>
      </c>
      <c r="K181" s="211">
        <v>1715.63</v>
      </c>
      <c r="L181" s="211">
        <v>0</v>
      </c>
      <c r="M181" s="212">
        <v>11719</v>
      </c>
      <c r="N181" s="244">
        <v>0</v>
      </c>
      <c r="O181" s="212">
        <v>0</v>
      </c>
      <c r="P181" s="212">
        <v>0</v>
      </c>
      <c r="Q181" s="212">
        <v>54579</v>
      </c>
      <c r="R181" s="212">
        <v>28490</v>
      </c>
      <c r="S181" s="212">
        <v>2791.25</v>
      </c>
      <c r="T181" s="212">
        <v>400</v>
      </c>
      <c r="U181" s="212"/>
      <c r="V181" s="212">
        <v>0</v>
      </c>
      <c r="W181" s="212">
        <v>0</v>
      </c>
      <c r="X181" s="212">
        <v>75431</v>
      </c>
      <c r="Y181" s="212"/>
      <c r="Z181" s="212"/>
      <c r="AA181" s="212"/>
      <c r="AB181" s="212"/>
      <c r="AC181" s="212"/>
      <c r="AD181" s="212"/>
      <c r="AE181" s="212"/>
      <c r="AF181" s="212"/>
      <c r="AG181" s="212"/>
      <c r="AH181" s="212"/>
      <c r="AI181" s="212"/>
      <c r="AJ181" s="212"/>
      <c r="AK181" s="212"/>
      <c r="AL181" s="212"/>
      <c r="AM181" s="212"/>
      <c r="AN181" s="229">
        <f t="shared" si="26"/>
        <v>197000.88</v>
      </c>
      <c r="AP181" s="37">
        <f t="shared" si="27"/>
        <v>25927</v>
      </c>
      <c r="AQ181" s="37">
        <f t="shared" si="27"/>
        <v>0</v>
      </c>
      <c r="AR181" s="37">
        <f t="shared" si="27"/>
        <v>28490</v>
      </c>
      <c r="AS181" s="37">
        <f t="shared" si="27"/>
        <v>400</v>
      </c>
      <c r="AT181" s="37">
        <f t="shared" si="27"/>
        <v>0</v>
      </c>
      <c r="AU181" s="37">
        <f t="shared" si="27"/>
        <v>0</v>
      </c>
      <c r="AV181" s="37">
        <f t="shared" si="27"/>
        <v>4506.88</v>
      </c>
      <c r="AW181" s="37">
        <f t="shared" si="27"/>
        <v>137677</v>
      </c>
      <c r="AX181" s="37">
        <f t="shared" si="27"/>
        <v>0</v>
      </c>
      <c r="AY181" s="64">
        <f t="shared" si="22"/>
        <v>0</v>
      </c>
    </row>
    <row r="182" spans="1:51">
      <c r="A182" s="231">
        <v>2099</v>
      </c>
      <c r="B182" s="4">
        <v>103214</v>
      </c>
      <c r="C182" s="4" t="s">
        <v>472</v>
      </c>
      <c r="D182" s="4" t="s">
        <v>473</v>
      </c>
      <c r="E182" s="4" t="s">
        <v>5</v>
      </c>
      <c r="F182" s="232" t="s">
        <v>415</v>
      </c>
      <c r="H182" s="211">
        <v>7417</v>
      </c>
      <c r="I182" s="212">
        <v>0</v>
      </c>
      <c r="J182" s="212">
        <v>10748</v>
      </c>
      <c r="K182" s="211">
        <v>3534.38</v>
      </c>
      <c r="L182" s="211">
        <v>0</v>
      </c>
      <c r="M182" s="212">
        <v>8846</v>
      </c>
      <c r="N182" s="244">
        <v>0</v>
      </c>
      <c r="O182" s="212">
        <v>0</v>
      </c>
      <c r="P182" s="212">
        <v>0</v>
      </c>
      <c r="Q182" s="212">
        <v>8693</v>
      </c>
      <c r="R182" s="212">
        <v>43932</v>
      </c>
      <c r="S182" s="212">
        <v>4689.75</v>
      </c>
      <c r="T182" s="212">
        <v>800</v>
      </c>
      <c r="U182" s="212"/>
      <c r="V182" s="212">
        <v>0</v>
      </c>
      <c r="W182" s="212">
        <v>0</v>
      </c>
      <c r="X182" s="212">
        <v>11778</v>
      </c>
      <c r="Y182" s="212"/>
      <c r="Z182" s="212"/>
      <c r="AA182" s="212"/>
      <c r="AB182" s="212"/>
      <c r="AC182" s="212"/>
      <c r="AD182" s="212"/>
      <c r="AE182" s="212"/>
      <c r="AF182" s="212"/>
      <c r="AG182" s="212"/>
      <c r="AH182" s="212"/>
      <c r="AI182" s="212"/>
      <c r="AJ182" s="212"/>
      <c r="AK182" s="212"/>
      <c r="AL182" s="212"/>
      <c r="AM182" s="212"/>
      <c r="AN182" s="229">
        <f t="shared" si="26"/>
        <v>100438.13</v>
      </c>
      <c r="AP182" s="37">
        <f t="shared" ref="AP182:AX191" si="28">SUMIF($H$3:$AM$3,AP$6,$H182:$AM182)</f>
        <v>19594</v>
      </c>
      <c r="AQ182" s="37">
        <f t="shared" si="28"/>
        <v>0</v>
      </c>
      <c r="AR182" s="37">
        <f t="shared" si="28"/>
        <v>43932</v>
      </c>
      <c r="AS182" s="37">
        <f t="shared" si="28"/>
        <v>800</v>
      </c>
      <c r="AT182" s="37">
        <f t="shared" si="28"/>
        <v>0</v>
      </c>
      <c r="AU182" s="37">
        <f t="shared" si="28"/>
        <v>0</v>
      </c>
      <c r="AV182" s="37">
        <f t="shared" si="28"/>
        <v>8224.130000000001</v>
      </c>
      <c r="AW182" s="37">
        <f t="shared" si="28"/>
        <v>27888</v>
      </c>
      <c r="AX182" s="37">
        <f t="shared" si="28"/>
        <v>0</v>
      </c>
      <c r="AY182" s="64">
        <f t="shared" si="22"/>
        <v>0</v>
      </c>
    </row>
    <row r="183" spans="1:51">
      <c r="A183" s="231">
        <v>2189</v>
      </c>
      <c r="B183" s="4">
        <v>103265</v>
      </c>
      <c r="C183" s="4" t="s">
        <v>475</v>
      </c>
      <c r="D183" s="4" t="s">
        <v>476</v>
      </c>
      <c r="E183" s="4" t="s">
        <v>5</v>
      </c>
      <c r="F183" s="232" t="s">
        <v>415</v>
      </c>
      <c r="H183" s="211">
        <v>7617</v>
      </c>
      <c r="I183" s="212">
        <v>0</v>
      </c>
      <c r="J183" s="212">
        <v>11762</v>
      </c>
      <c r="K183" s="211">
        <v>3487.5</v>
      </c>
      <c r="L183" s="211">
        <v>0</v>
      </c>
      <c r="M183" s="212">
        <v>9683</v>
      </c>
      <c r="N183" s="244">
        <v>0</v>
      </c>
      <c r="O183" s="212">
        <v>0</v>
      </c>
      <c r="P183" s="212">
        <v>0</v>
      </c>
      <c r="Q183" s="212">
        <v>4707</v>
      </c>
      <c r="R183" s="212">
        <v>45140</v>
      </c>
      <c r="S183" s="212">
        <v>4422.5</v>
      </c>
      <c r="T183" s="212">
        <v>1000</v>
      </c>
      <c r="U183" s="212"/>
      <c r="V183" s="212">
        <v>0</v>
      </c>
      <c r="W183" s="212">
        <v>3598</v>
      </c>
      <c r="X183" s="212">
        <v>10516</v>
      </c>
      <c r="Y183" s="212"/>
      <c r="Z183" s="212"/>
      <c r="AA183" s="212"/>
      <c r="AB183" s="212"/>
      <c r="AC183" s="212"/>
      <c r="AD183" s="212"/>
      <c r="AE183" s="212"/>
      <c r="AF183" s="212"/>
      <c r="AG183" s="212"/>
      <c r="AH183" s="212"/>
      <c r="AI183" s="212"/>
      <c r="AJ183" s="212"/>
      <c r="AK183" s="212"/>
      <c r="AL183" s="212"/>
      <c r="AM183" s="212"/>
      <c r="AN183" s="229">
        <f t="shared" si="26"/>
        <v>101933</v>
      </c>
      <c r="AP183" s="37">
        <f t="shared" si="28"/>
        <v>25043</v>
      </c>
      <c r="AQ183" s="37">
        <f t="shared" si="28"/>
        <v>0</v>
      </c>
      <c r="AR183" s="37">
        <f t="shared" si="28"/>
        <v>45140</v>
      </c>
      <c r="AS183" s="37">
        <f t="shared" si="28"/>
        <v>1000</v>
      </c>
      <c r="AT183" s="37">
        <f t="shared" si="28"/>
        <v>0</v>
      </c>
      <c r="AU183" s="37">
        <f t="shared" si="28"/>
        <v>0</v>
      </c>
      <c r="AV183" s="37">
        <f t="shared" si="28"/>
        <v>7910</v>
      </c>
      <c r="AW183" s="37">
        <f t="shared" si="28"/>
        <v>22840</v>
      </c>
      <c r="AX183" s="37">
        <f t="shared" si="28"/>
        <v>0</v>
      </c>
      <c r="AY183" s="64">
        <f t="shared" si="22"/>
        <v>0</v>
      </c>
    </row>
    <row r="184" spans="1:51">
      <c r="A184" s="231">
        <v>7060</v>
      </c>
      <c r="B184" s="4">
        <v>103630</v>
      </c>
      <c r="C184" s="4" t="s">
        <v>478</v>
      </c>
      <c r="D184" s="4" t="s">
        <v>479</v>
      </c>
      <c r="E184" s="4" t="s">
        <v>1093</v>
      </c>
      <c r="F184" s="232" t="s">
        <v>415</v>
      </c>
      <c r="H184" s="211">
        <v>7075</v>
      </c>
      <c r="I184" s="212">
        <v>59814.34</v>
      </c>
      <c r="J184" s="212">
        <v>0</v>
      </c>
      <c r="K184" s="211">
        <v>3378.13</v>
      </c>
      <c r="L184" s="211">
        <v>0</v>
      </c>
      <c r="M184" s="212">
        <v>0</v>
      </c>
      <c r="N184" s="244">
        <v>0</v>
      </c>
      <c r="O184" s="212">
        <v>0</v>
      </c>
      <c r="P184" s="212">
        <v>0</v>
      </c>
      <c r="Q184" s="212">
        <v>1441</v>
      </c>
      <c r="R184" s="212">
        <v>18130</v>
      </c>
      <c r="S184" s="212">
        <v>7105</v>
      </c>
      <c r="T184" s="212">
        <v>0</v>
      </c>
      <c r="U184" s="212"/>
      <c r="V184" s="212">
        <v>44835.62</v>
      </c>
      <c r="W184" s="212">
        <v>0</v>
      </c>
      <c r="X184" s="212">
        <v>2805</v>
      </c>
      <c r="Y184" s="212"/>
      <c r="Z184" s="212"/>
      <c r="AA184" s="212"/>
      <c r="AB184" s="212"/>
      <c r="AC184" s="212"/>
      <c r="AD184" s="212"/>
      <c r="AE184" s="212"/>
      <c r="AF184" s="212"/>
      <c r="AG184" s="212"/>
      <c r="AH184" s="212"/>
      <c r="AI184" s="212"/>
      <c r="AJ184" s="212"/>
      <c r="AK184" s="212"/>
      <c r="AL184" s="212"/>
      <c r="AM184" s="212"/>
      <c r="AN184" s="229">
        <f t="shared" si="26"/>
        <v>144584.09</v>
      </c>
      <c r="AP184" s="37">
        <f t="shared" si="28"/>
        <v>104649.95999999999</v>
      </c>
      <c r="AQ184" s="37">
        <f t="shared" si="28"/>
        <v>0</v>
      </c>
      <c r="AR184" s="37">
        <f t="shared" si="28"/>
        <v>18130</v>
      </c>
      <c r="AS184" s="37">
        <f t="shared" si="28"/>
        <v>0</v>
      </c>
      <c r="AT184" s="37">
        <f t="shared" si="28"/>
        <v>0</v>
      </c>
      <c r="AU184" s="37">
        <f t="shared" si="28"/>
        <v>0</v>
      </c>
      <c r="AV184" s="37">
        <f t="shared" si="28"/>
        <v>10483.130000000001</v>
      </c>
      <c r="AW184" s="37">
        <f t="shared" si="28"/>
        <v>11321</v>
      </c>
      <c r="AX184" s="37">
        <f t="shared" si="28"/>
        <v>0</v>
      </c>
      <c r="AY184" s="64">
        <f t="shared" si="22"/>
        <v>0</v>
      </c>
    </row>
    <row r="185" spans="1:51">
      <c r="A185" s="231">
        <v>7012</v>
      </c>
      <c r="B185" s="4">
        <v>103603</v>
      </c>
      <c r="C185" s="4" t="s">
        <v>481</v>
      </c>
      <c r="D185" s="4" t="s">
        <v>482</v>
      </c>
      <c r="E185" s="4" t="s">
        <v>1093</v>
      </c>
      <c r="F185" s="232" t="s">
        <v>415</v>
      </c>
      <c r="H185" s="211">
        <v>6871</v>
      </c>
      <c r="I185" s="212">
        <v>38879.32</v>
      </c>
      <c r="J185" s="212">
        <v>0</v>
      </c>
      <c r="K185" s="211">
        <v>2643.75</v>
      </c>
      <c r="L185" s="211">
        <v>0</v>
      </c>
      <c r="M185" s="212">
        <v>0</v>
      </c>
      <c r="N185" s="244">
        <v>0</v>
      </c>
      <c r="O185" s="212">
        <v>0</v>
      </c>
      <c r="P185" s="212">
        <v>0</v>
      </c>
      <c r="Q185" s="212">
        <v>2703</v>
      </c>
      <c r="R185" s="212">
        <v>12950</v>
      </c>
      <c r="S185" s="212">
        <v>4205</v>
      </c>
      <c r="T185" s="212">
        <v>0</v>
      </c>
      <c r="U185" s="212"/>
      <c r="V185" s="212">
        <v>29143.15</v>
      </c>
      <c r="W185" s="212">
        <v>5397</v>
      </c>
      <c r="X185" s="212">
        <v>2805</v>
      </c>
      <c r="Y185" s="212"/>
      <c r="Z185" s="212"/>
      <c r="AA185" s="212"/>
      <c r="AB185" s="212"/>
      <c r="AC185" s="212"/>
      <c r="AD185" s="212"/>
      <c r="AE185" s="212"/>
      <c r="AF185" s="212"/>
      <c r="AG185" s="212"/>
      <c r="AH185" s="212"/>
      <c r="AI185" s="212"/>
      <c r="AJ185" s="212"/>
      <c r="AK185" s="212"/>
      <c r="AL185" s="212"/>
      <c r="AM185" s="212"/>
      <c r="AN185" s="229">
        <f t="shared" si="26"/>
        <v>105597.22</v>
      </c>
      <c r="AP185" s="37">
        <f t="shared" si="28"/>
        <v>73419.47</v>
      </c>
      <c r="AQ185" s="37">
        <f t="shared" si="28"/>
        <v>0</v>
      </c>
      <c r="AR185" s="37">
        <f t="shared" si="28"/>
        <v>12950</v>
      </c>
      <c r="AS185" s="37">
        <f t="shared" si="28"/>
        <v>0</v>
      </c>
      <c r="AT185" s="37">
        <f t="shared" si="28"/>
        <v>0</v>
      </c>
      <c r="AU185" s="37">
        <f t="shared" si="28"/>
        <v>0</v>
      </c>
      <c r="AV185" s="37">
        <f t="shared" si="28"/>
        <v>6848.75</v>
      </c>
      <c r="AW185" s="37">
        <f t="shared" si="28"/>
        <v>12379</v>
      </c>
      <c r="AX185" s="37">
        <f t="shared" si="28"/>
        <v>0</v>
      </c>
      <c r="AY185" s="64">
        <f t="shared" si="22"/>
        <v>0</v>
      </c>
    </row>
    <row r="186" spans="1:51">
      <c r="A186" s="231">
        <v>2420</v>
      </c>
      <c r="B186" s="4">
        <v>103353</v>
      </c>
      <c r="C186" s="4" t="s">
        <v>484</v>
      </c>
      <c r="D186" s="4" t="s">
        <v>485</v>
      </c>
      <c r="E186" s="4" t="s">
        <v>5</v>
      </c>
      <c r="F186" s="232" t="s">
        <v>415</v>
      </c>
      <c r="H186" s="211">
        <v>8167</v>
      </c>
      <c r="I186" s="212">
        <v>0</v>
      </c>
      <c r="J186" s="212">
        <v>14904</v>
      </c>
      <c r="K186" s="211">
        <v>534.38</v>
      </c>
      <c r="L186" s="211">
        <v>0</v>
      </c>
      <c r="M186" s="212">
        <v>12310</v>
      </c>
      <c r="N186" s="244">
        <v>0</v>
      </c>
      <c r="O186" s="212">
        <v>0</v>
      </c>
      <c r="P186" s="212">
        <v>0</v>
      </c>
      <c r="Q186" s="212">
        <v>33488</v>
      </c>
      <c r="R186" s="212">
        <v>9237</v>
      </c>
      <c r="S186" s="212">
        <v>870</v>
      </c>
      <c r="T186" s="212">
        <v>600</v>
      </c>
      <c r="U186" s="212"/>
      <c r="V186" s="212">
        <v>0</v>
      </c>
      <c r="W186" s="212">
        <v>0</v>
      </c>
      <c r="X186" s="212">
        <v>46689</v>
      </c>
      <c r="Y186" s="212"/>
      <c r="Z186" s="212"/>
      <c r="AA186" s="212"/>
      <c r="AB186" s="212"/>
      <c r="AC186" s="212"/>
      <c r="AD186" s="212"/>
      <c r="AE186" s="212"/>
      <c r="AF186" s="212"/>
      <c r="AG186" s="212"/>
      <c r="AH186" s="212"/>
      <c r="AI186" s="212"/>
      <c r="AJ186" s="212"/>
      <c r="AK186" s="212"/>
      <c r="AL186" s="212"/>
      <c r="AM186" s="212"/>
      <c r="AN186" s="229">
        <f t="shared" si="26"/>
        <v>126799.38</v>
      </c>
      <c r="AP186" s="37">
        <f t="shared" si="28"/>
        <v>27214</v>
      </c>
      <c r="AQ186" s="37">
        <f t="shared" si="28"/>
        <v>0</v>
      </c>
      <c r="AR186" s="37">
        <f t="shared" si="28"/>
        <v>9237</v>
      </c>
      <c r="AS186" s="37">
        <f t="shared" si="28"/>
        <v>600</v>
      </c>
      <c r="AT186" s="37">
        <f t="shared" si="28"/>
        <v>0</v>
      </c>
      <c r="AU186" s="37">
        <f t="shared" si="28"/>
        <v>0</v>
      </c>
      <c r="AV186" s="37">
        <f t="shared" si="28"/>
        <v>1404.38</v>
      </c>
      <c r="AW186" s="37">
        <f t="shared" si="28"/>
        <v>88344</v>
      </c>
      <c r="AX186" s="37">
        <f t="shared" si="28"/>
        <v>0</v>
      </c>
      <c r="AY186" s="64">
        <f t="shared" si="22"/>
        <v>0</v>
      </c>
    </row>
    <row r="187" spans="1:51">
      <c r="A187" s="231">
        <v>2406</v>
      </c>
      <c r="B187" s="4">
        <v>103345</v>
      </c>
      <c r="C187" s="4" t="s">
        <v>487</v>
      </c>
      <c r="D187" s="4" t="s">
        <v>488</v>
      </c>
      <c r="E187" s="4" t="s">
        <v>5</v>
      </c>
      <c r="F187" s="232" t="s">
        <v>415</v>
      </c>
      <c r="H187" s="211">
        <v>7412</v>
      </c>
      <c r="I187" s="212">
        <v>0</v>
      </c>
      <c r="J187" s="212">
        <v>10150</v>
      </c>
      <c r="K187" s="211">
        <v>2615.63</v>
      </c>
      <c r="L187" s="211">
        <v>0</v>
      </c>
      <c r="M187" s="212">
        <v>8358</v>
      </c>
      <c r="N187" s="244">
        <v>0</v>
      </c>
      <c r="O187" s="212">
        <v>0</v>
      </c>
      <c r="P187" s="212">
        <v>0</v>
      </c>
      <c r="Q187" s="212">
        <v>10996</v>
      </c>
      <c r="R187" s="212">
        <v>35792</v>
      </c>
      <c r="S187" s="212">
        <v>4588.75</v>
      </c>
      <c r="T187" s="212">
        <v>0</v>
      </c>
      <c r="U187" s="212"/>
      <c r="V187" s="212">
        <v>0</v>
      </c>
      <c r="W187" s="212">
        <v>0</v>
      </c>
      <c r="X187" s="212">
        <v>13040</v>
      </c>
      <c r="Y187" s="212"/>
      <c r="Z187" s="212"/>
      <c r="AA187" s="212"/>
      <c r="AB187" s="212"/>
      <c r="AC187" s="212"/>
      <c r="AD187" s="212"/>
      <c r="AE187" s="212"/>
      <c r="AF187" s="212"/>
      <c r="AG187" s="212"/>
      <c r="AH187" s="212"/>
      <c r="AI187" s="212"/>
      <c r="AJ187" s="212"/>
      <c r="AK187" s="212"/>
      <c r="AL187" s="212"/>
      <c r="AM187" s="212"/>
      <c r="AN187" s="229">
        <f t="shared" si="26"/>
        <v>92952.38</v>
      </c>
      <c r="AP187" s="37">
        <f t="shared" si="28"/>
        <v>18508</v>
      </c>
      <c r="AQ187" s="37">
        <f t="shared" si="28"/>
        <v>0</v>
      </c>
      <c r="AR187" s="37">
        <f t="shared" si="28"/>
        <v>35792</v>
      </c>
      <c r="AS187" s="37">
        <f t="shared" si="28"/>
        <v>0</v>
      </c>
      <c r="AT187" s="37">
        <f t="shared" si="28"/>
        <v>0</v>
      </c>
      <c r="AU187" s="37">
        <f t="shared" si="28"/>
        <v>0</v>
      </c>
      <c r="AV187" s="37">
        <f t="shared" si="28"/>
        <v>7204.38</v>
      </c>
      <c r="AW187" s="37">
        <f t="shared" si="28"/>
        <v>31448</v>
      </c>
      <c r="AX187" s="37">
        <f t="shared" si="28"/>
        <v>0</v>
      </c>
      <c r="AY187" s="64">
        <f t="shared" si="22"/>
        <v>0</v>
      </c>
    </row>
    <row r="188" spans="1:51">
      <c r="A188" s="231">
        <v>3351</v>
      </c>
      <c r="B188" s="4">
        <v>103443</v>
      </c>
      <c r="C188" s="4" t="s">
        <v>490</v>
      </c>
      <c r="D188" s="4" t="s">
        <v>491</v>
      </c>
      <c r="E188" s="4" t="s">
        <v>5</v>
      </c>
      <c r="F188" s="232" t="s">
        <v>415</v>
      </c>
      <c r="H188" s="211">
        <v>7408</v>
      </c>
      <c r="I188" s="212">
        <v>0</v>
      </c>
      <c r="J188" s="212">
        <v>10641</v>
      </c>
      <c r="K188" s="211">
        <v>2306.25</v>
      </c>
      <c r="L188" s="211">
        <v>0</v>
      </c>
      <c r="M188" s="212">
        <v>8761</v>
      </c>
      <c r="N188" s="244">
        <v>0</v>
      </c>
      <c r="O188" s="212">
        <v>0</v>
      </c>
      <c r="P188" s="212">
        <v>0</v>
      </c>
      <c r="Q188" s="212">
        <v>2363</v>
      </c>
      <c r="R188" s="212">
        <v>40305</v>
      </c>
      <c r="S188" s="212">
        <v>3878.75</v>
      </c>
      <c r="T188" s="212">
        <v>0</v>
      </c>
      <c r="U188" s="212"/>
      <c r="V188" s="212">
        <v>0</v>
      </c>
      <c r="W188" s="212">
        <v>0</v>
      </c>
      <c r="X188" s="212">
        <v>9394</v>
      </c>
      <c r="Y188" s="212"/>
      <c r="Z188" s="212"/>
      <c r="AA188" s="212"/>
      <c r="AB188" s="212"/>
      <c r="AC188" s="212"/>
      <c r="AD188" s="212"/>
      <c r="AE188" s="212"/>
      <c r="AF188" s="212"/>
      <c r="AG188" s="212"/>
      <c r="AH188" s="212"/>
      <c r="AI188" s="212"/>
      <c r="AJ188" s="212"/>
      <c r="AK188" s="212"/>
      <c r="AL188" s="212"/>
      <c r="AM188" s="212"/>
      <c r="AN188" s="229">
        <f t="shared" si="26"/>
        <v>85057</v>
      </c>
      <c r="AP188" s="37">
        <f t="shared" si="28"/>
        <v>19402</v>
      </c>
      <c r="AQ188" s="37">
        <f t="shared" si="28"/>
        <v>0</v>
      </c>
      <c r="AR188" s="37">
        <f t="shared" si="28"/>
        <v>40305</v>
      </c>
      <c r="AS188" s="37">
        <f t="shared" si="28"/>
        <v>0</v>
      </c>
      <c r="AT188" s="37">
        <f t="shared" si="28"/>
        <v>0</v>
      </c>
      <c r="AU188" s="37">
        <f t="shared" si="28"/>
        <v>0</v>
      </c>
      <c r="AV188" s="37">
        <f t="shared" si="28"/>
        <v>6185</v>
      </c>
      <c r="AW188" s="37">
        <f t="shared" si="28"/>
        <v>19165</v>
      </c>
      <c r="AX188" s="37">
        <f t="shared" si="28"/>
        <v>0</v>
      </c>
      <c r="AY188" s="64">
        <f t="shared" si="22"/>
        <v>0</v>
      </c>
    </row>
    <row r="189" spans="1:51">
      <c r="A189" s="231">
        <v>3328</v>
      </c>
      <c r="B189" s="4">
        <v>103430</v>
      </c>
      <c r="C189" s="4" t="s">
        <v>493</v>
      </c>
      <c r="D189" s="4" t="s">
        <v>494</v>
      </c>
      <c r="E189" s="4" t="s">
        <v>5</v>
      </c>
      <c r="F189" s="232" t="s">
        <v>415</v>
      </c>
      <c r="H189" s="211">
        <v>7412</v>
      </c>
      <c r="I189" s="212">
        <v>0</v>
      </c>
      <c r="J189" s="212">
        <v>8808</v>
      </c>
      <c r="K189" s="211">
        <v>1406.25</v>
      </c>
      <c r="L189" s="211">
        <v>0</v>
      </c>
      <c r="M189" s="212">
        <v>7265</v>
      </c>
      <c r="N189" s="244">
        <v>0</v>
      </c>
      <c r="O189" s="212">
        <v>0</v>
      </c>
      <c r="P189" s="212">
        <v>0</v>
      </c>
      <c r="Q189" s="212">
        <v>13119</v>
      </c>
      <c r="R189" s="212">
        <v>15812</v>
      </c>
      <c r="S189" s="212">
        <v>1522.5</v>
      </c>
      <c r="T189" s="212">
        <v>400</v>
      </c>
      <c r="U189" s="212"/>
      <c r="V189" s="212">
        <v>0</v>
      </c>
      <c r="W189" s="212">
        <v>1799</v>
      </c>
      <c r="X189" s="212">
        <v>19349</v>
      </c>
      <c r="Y189" s="212"/>
      <c r="Z189" s="212"/>
      <c r="AA189" s="212"/>
      <c r="AB189" s="212"/>
      <c r="AC189" s="212"/>
      <c r="AD189" s="212"/>
      <c r="AE189" s="212"/>
      <c r="AF189" s="212"/>
      <c r="AG189" s="212"/>
      <c r="AH189" s="212"/>
      <c r="AI189" s="212"/>
      <c r="AJ189" s="212"/>
      <c r="AK189" s="212"/>
      <c r="AL189" s="212"/>
      <c r="AM189" s="212"/>
      <c r="AN189" s="229">
        <f t="shared" si="26"/>
        <v>76892.75</v>
      </c>
      <c r="AP189" s="37">
        <f t="shared" si="28"/>
        <v>17872</v>
      </c>
      <c r="AQ189" s="37">
        <f t="shared" si="28"/>
        <v>0</v>
      </c>
      <c r="AR189" s="37">
        <f t="shared" si="28"/>
        <v>15812</v>
      </c>
      <c r="AS189" s="37">
        <f t="shared" si="28"/>
        <v>400</v>
      </c>
      <c r="AT189" s="37">
        <f t="shared" si="28"/>
        <v>0</v>
      </c>
      <c r="AU189" s="37">
        <f t="shared" si="28"/>
        <v>0</v>
      </c>
      <c r="AV189" s="37">
        <f t="shared" si="28"/>
        <v>2928.75</v>
      </c>
      <c r="AW189" s="37">
        <f t="shared" si="28"/>
        <v>39880</v>
      </c>
      <c r="AX189" s="37">
        <f t="shared" si="28"/>
        <v>0</v>
      </c>
      <c r="AY189" s="64">
        <f t="shared" si="22"/>
        <v>0</v>
      </c>
    </row>
    <row r="190" spans="1:51">
      <c r="A190" s="231">
        <v>2160</v>
      </c>
      <c r="B190" s="4">
        <v>103248</v>
      </c>
      <c r="C190" s="4" t="s">
        <v>496</v>
      </c>
      <c r="D190" s="4" t="s">
        <v>497</v>
      </c>
      <c r="E190" s="4" t="s">
        <v>5</v>
      </c>
      <c r="F190" s="232" t="s">
        <v>415</v>
      </c>
      <c r="H190" s="211">
        <v>8100</v>
      </c>
      <c r="I190" s="212">
        <v>0</v>
      </c>
      <c r="J190" s="212">
        <v>17028</v>
      </c>
      <c r="K190" s="211">
        <v>5990.63</v>
      </c>
      <c r="L190" s="211">
        <v>0</v>
      </c>
      <c r="M190" s="212">
        <v>14015</v>
      </c>
      <c r="N190" s="244">
        <v>0</v>
      </c>
      <c r="O190" s="212">
        <v>0</v>
      </c>
      <c r="P190" s="212">
        <v>0</v>
      </c>
      <c r="Q190" s="212">
        <v>0</v>
      </c>
      <c r="R190" s="212">
        <v>71670</v>
      </c>
      <c r="S190" s="212">
        <v>6960</v>
      </c>
      <c r="T190" s="212">
        <v>0</v>
      </c>
      <c r="U190" s="212"/>
      <c r="V190" s="212">
        <v>0</v>
      </c>
      <c r="W190" s="212">
        <v>0</v>
      </c>
      <c r="X190" s="212">
        <v>0</v>
      </c>
      <c r="Y190" s="212"/>
      <c r="Z190" s="212"/>
      <c r="AA190" s="212"/>
      <c r="AB190" s="212"/>
      <c r="AC190" s="212"/>
      <c r="AD190" s="212"/>
      <c r="AE190" s="212"/>
      <c r="AF190" s="212"/>
      <c r="AG190" s="212"/>
      <c r="AH190" s="212"/>
      <c r="AI190" s="212"/>
      <c r="AJ190" s="212"/>
      <c r="AK190" s="212"/>
      <c r="AL190" s="212"/>
      <c r="AM190" s="212"/>
      <c r="AN190" s="229">
        <f t="shared" si="26"/>
        <v>123763.63</v>
      </c>
      <c r="AP190" s="37">
        <f t="shared" si="28"/>
        <v>31043</v>
      </c>
      <c r="AQ190" s="37">
        <f t="shared" si="28"/>
        <v>0</v>
      </c>
      <c r="AR190" s="37">
        <f t="shared" si="28"/>
        <v>71670</v>
      </c>
      <c r="AS190" s="37">
        <f t="shared" si="28"/>
        <v>0</v>
      </c>
      <c r="AT190" s="37">
        <f t="shared" si="28"/>
        <v>0</v>
      </c>
      <c r="AU190" s="37">
        <f t="shared" si="28"/>
        <v>0</v>
      </c>
      <c r="AV190" s="37">
        <f t="shared" si="28"/>
        <v>12950.630000000001</v>
      </c>
      <c r="AW190" s="37">
        <f t="shared" si="28"/>
        <v>8100</v>
      </c>
      <c r="AX190" s="37">
        <f t="shared" si="28"/>
        <v>0</v>
      </c>
      <c r="AY190" s="64">
        <f t="shared" si="22"/>
        <v>0</v>
      </c>
    </row>
    <row r="191" spans="1:51">
      <c r="A191" s="231">
        <v>2063</v>
      </c>
      <c r="B191" s="4">
        <v>103193</v>
      </c>
      <c r="C191" s="4" t="s">
        <v>499</v>
      </c>
      <c r="D191" s="4" t="s">
        <v>500</v>
      </c>
      <c r="E191" s="4" t="s">
        <v>5</v>
      </c>
      <c r="F191" s="232" t="s">
        <v>415</v>
      </c>
      <c r="H191" s="211">
        <v>8267</v>
      </c>
      <c r="I191" s="212">
        <v>0</v>
      </c>
      <c r="J191" s="212">
        <v>20457</v>
      </c>
      <c r="K191" s="211">
        <v>6215.63</v>
      </c>
      <c r="L191" s="211">
        <v>0</v>
      </c>
      <c r="M191" s="212">
        <v>16835</v>
      </c>
      <c r="N191" s="244">
        <v>0</v>
      </c>
      <c r="O191" s="212">
        <v>0</v>
      </c>
      <c r="P191" s="212">
        <v>0</v>
      </c>
      <c r="Q191" s="212">
        <v>12459</v>
      </c>
      <c r="R191" s="212">
        <v>88800</v>
      </c>
      <c r="S191" s="212">
        <v>8700</v>
      </c>
      <c r="T191" s="212">
        <v>400</v>
      </c>
      <c r="U191" s="212"/>
      <c r="V191" s="212">
        <v>0</v>
      </c>
      <c r="W191" s="212">
        <v>1799</v>
      </c>
      <c r="X191" s="212">
        <v>17246</v>
      </c>
      <c r="Y191" s="212"/>
      <c r="Z191" s="212"/>
      <c r="AA191" s="212"/>
      <c r="AB191" s="212"/>
      <c r="AC191" s="212"/>
      <c r="AD191" s="212"/>
      <c r="AE191" s="212"/>
      <c r="AF191" s="212"/>
      <c r="AG191" s="212"/>
      <c r="AH191" s="212"/>
      <c r="AI191" s="212"/>
      <c r="AJ191" s="212"/>
      <c r="AK191" s="212"/>
      <c r="AL191" s="212"/>
      <c r="AM191" s="212"/>
      <c r="AN191" s="229">
        <f t="shared" si="26"/>
        <v>181178.63</v>
      </c>
      <c r="AP191" s="37">
        <f t="shared" si="28"/>
        <v>39091</v>
      </c>
      <c r="AQ191" s="37">
        <f t="shared" si="28"/>
        <v>0</v>
      </c>
      <c r="AR191" s="37">
        <f t="shared" si="28"/>
        <v>88800</v>
      </c>
      <c r="AS191" s="37">
        <f t="shared" si="28"/>
        <v>400</v>
      </c>
      <c r="AT191" s="37">
        <f t="shared" si="28"/>
        <v>0</v>
      </c>
      <c r="AU191" s="37">
        <f t="shared" si="28"/>
        <v>0</v>
      </c>
      <c r="AV191" s="37">
        <f t="shared" si="28"/>
        <v>14915.630000000001</v>
      </c>
      <c r="AW191" s="37">
        <f t="shared" si="28"/>
        <v>37972</v>
      </c>
      <c r="AX191" s="37">
        <f t="shared" si="28"/>
        <v>0</v>
      </c>
      <c r="AY191" s="64">
        <f t="shared" si="22"/>
        <v>0</v>
      </c>
    </row>
    <row r="192" spans="1:51">
      <c r="A192" s="231">
        <v>2008</v>
      </c>
      <c r="B192" s="4">
        <v>103157</v>
      </c>
      <c r="C192" s="4" t="s">
        <v>502</v>
      </c>
      <c r="D192" s="4" t="s">
        <v>503</v>
      </c>
      <c r="E192" s="4" t="s">
        <v>5</v>
      </c>
      <c r="F192" s="232" t="s">
        <v>415</v>
      </c>
      <c r="H192" s="211">
        <v>8171</v>
      </c>
      <c r="I192" s="212">
        <v>0</v>
      </c>
      <c r="J192" s="212">
        <v>19685</v>
      </c>
      <c r="K192" s="211">
        <v>4781.25</v>
      </c>
      <c r="L192" s="211">
        <v>0</v>
      </c>
      <c r="M192" s="212">
        <v>16212</v>
      </c>
      <c r="N192" s="244">
        <v>0</v>
      </c>
      <c r="O192" s="212">
        <v>0</v>
      </c>
      <c r="P192" s="212">
        <v>0</v>
      </c>
      <c r="Q192" s="212">
        <v>20830</v>
      </c>
      <c r="R192" s="212">
        <v>71040</v>
      </c>
      <c r="S192" s="212">
        <v>6960</v>
      </c>
      <c r="T192" s="212">
        <v>0</v>
      </c>
      <c r="U192" s="212"/>
      <c r="V192" s="212">
        <v>0</v>
      </c>
      <c r="W192" s="212">
        <v>0</v>
      </c>
      <c r="X192" s="212">
        <v>28182</v>
      </c>
      <c r="Y192" s="212"/>
      <c r="Z192" s="212"/>
      <c r="AA192" s="212"/>
      <c r="AB192" s="212"/>
      <c r="AC192" s="212"/>
      <c r="AD192" s="212"/>
      <c r="AE192" s="212"/>
      <c r="AF192" s="212"/>
      <c r="AG192" s="212"/>
      <c r="AH192" s="212"/>
      <c r="AI192" s="212"/>
      <c r="AJ192" s="212"/>
      <c r="AK192" s="212"/>
      <c r="AL192" s="212"/>
      <c r="AM192" s="212"/>
      <c r="AN192" s="229">
        <f t="shared" si="26"/>
        <v>175861.25</v>
      </c>
      <c r="AP192" s="37">
        <f t="shared" ref="AP192:AX201" si="29">SUMIF($H$3:$AM$3,AP$6,$H192:$AM192)</f>
        <v>35897</v>
      </c>
      <c r="AQ192" s="37">
        <f t="shared" si="29"/>
        <v>0</v>
      </c>
      <c r="AR192" s="37">
        <f t="shared" si="29"/>
        <v>71040</v>
      </c>
      <c r="AS192" s="37">
        <f t="shared" si="29"/>
        <v>0</v>
      </c>
      <c r="AT192" s="37">
        <f t="shared" si="29"/>
        <v>0</v>
      </c>
      <c r="AU192" s="37">
        <f t="shared" si="29"/>
        <v>0</v>
      </c>
      <c r="AV192" s="37">
        <f t="shared" si="29"/>
        <v>11741.25</v>
      </c>
      <c r="AW192" s="37">
        <f t="shared" si="29"/>
        <v>57183</v>
      </c>
      <c r="AX192" s="37">
        <f t="shared" si="29"/>
        <v>0</v>
      </c>
      <c r="AY192" s="64">
        <f t="shared" si="22"/>
        <v>0</v>
      </c>
    </row>
    <row r="193" spans="1:51">
      <c r="A193" s="231">
        <v>2176</v>
      </c>
      <c r="B193" s="4">
        <v>103256</v>
      </c>
      <c r="C193" s="4" t="s">
        <v>505</v>
      </c>
      <c r="D193" s="4" t="s">
        <v>506</v>
      </c>
      <c r="E193" s="4" t="s">
        <v>5</v>
      </c>
      <c r="F193" s="232" t="s">
        <v>415</v>
      </c>
      <c r="H193" s="211">
        <v>9017</v>
      </c>
      <c r="I193" s="212">
        <v>0</v>
      </c>
      <c r="J193" s="212">
        <v>29070</v>
      </c>
      <c r="K193" s="211">
        <v>7762.5</v>
      </c>
      <c r="L193" s="211">
        <v>0</v>
      </c>
      <c r="M193" s="212">
        <v>23943</v>
      </c>
      <c r="N193" s="244">
        <v>0</v>
      </c>
      <c r="O193" s="212">
        <v>0</v>
      </c>
      <c r="P193" s="212">
        <v>0</v>
      </c>
      <c r="Q193" s="212">
        <v>30203</v>
      </c>
      <c r="R193" s="212">
        <v>103600</v>
      </c>
      <c r="S193" s="212">
        <v>10150</v>
      </c>
      <c r="T193" s="212">
        <v>800</v>
      </c>
      <c r="U193" s="212"/>
      <c r="V193" s="212">
        <v>0</v>
      </c>
      <c r="W193" s="212">
        <v>1799</v>
      </c>
      <c r="X193" s="212">
        <v>46408</v>
      </c>
      <c r="Y193" s="212"/>
      <c r="Z193" s="212"/>
      <c r="AA193" s="212"/>
      <c r="AB193" s="212"/>
      <c r="AC193" s="212"/>
      <c r="AD193" s="212"/>
      <c r="AE193" s="212"/>
      <c r="AF193" s="212"/>
      <c r="AG193" s="212"/>
      <c r="AH193" s="212"/>
      <c r="AI193" s="212"/>
      <c r="AJ193" s="212"/>
      <c r="AK193" s="212"/>
      <c r="AL193" s="212"/>
      <c r="AM193" s="212"/>
      <c r="AN193" s="229">
        <f t="shared" si="26"/>
        <v>262752.5</v>
      </c>
      <c r="AP193" s="37">
        <f t="shared" si="29"/>
        <v>54812</v>
      </c>
      <c r="AQ193" s="37">
        <f t="shared" si="29"/>
        <v>0</v>
      </c>
      <c r="AR193" s="37">
        <f t="shared" si="29"/>
        <v>103600</v>
      </c>
      <c r="AS193" s="37">
        <f t="shared" si="29"/>
        <v>800</v>
      </c>
      <c r="AT193" s="37">
        <f t="shared" si="29"/>
        <v>0</v>
      </c>
      <c r="AU193" s="37">
        <f t="shared" si="29"/>
        <v>0</v>
      </c>
      <c r="AV193" s="37">
        <f t="shared" si="29"/>
        <v>17912.5</v>
      </c>
      <c r="AW193" s="37">
        <f t="shared" si="29"/>
        <v>85628</v>
      </c>
      <c r="AX193" s="37">
        <f t="shared" si="29"/>
        <v>0</v>
      </c>
      <c r="AY193" s="64">
        <f t="shared" si="22"/>
        <v>0</v>
      </c>
    </row>
    <row r="194" spans="1:51">
      <c r="A194" s="231">
        <v>3410</v>
      </c>
      <c r="B194" s="4">
        <v>103478</v>
      </c>
      <c r="C194" s="4" t="s">
        <v>508</v>
      </c>
      <c r="D194" s="4" t="s">
        <v>509</v>
      </c>
      <c r="E194" s="4" t="s">
        <v>5</v>
      </c>
      <c r="F194" s="232" t="s">
        <v>415</v>
      </c>
      <c r="H194" s="211">
        <v>7404</v>
      </c>
      <c r="I194" s="212">
        <v>0</v>
      </c>
      <c r="J194" s="212">
        <v>8958</v>
      </c>
      <c r="K194" s="211">
        <v>1434.38</v>
      </c>
      <c r="L194" s="211">
        <v>0</v>
      </c>
      <c r="M194" s="212">
        <v>7387</v>
      </c>
      <c r="N194" s="244">
        <v>0</v>
      </c>
      <c r="O194" s="212">
        <v>0</v>
      </c>
      <c r="P194" s="212">
        <v>0</v>
      </c>
      <c r="Q194" s="212">
        <v>13459</v>
      </c>
      <c r="R194" s="212">
        <v>18500</v>
      </c>
      <c r="S194" s="212">
        <v>1812.5</v>
      </c>
      <c r="T194" s="212">
        <v>200</v>
      </c>
      <c r="U194" s="212"/>
      <c r="V194" s="212">
        <v>0</v>
      </c>
      <c r="W194" s="212">
        <v>0</v>
      </c>
      <c r="X194" s="212">
        <v>18648</v>
      </c>
      <c r="Y194" s="212"/>
      <c r="Z194" s="212"/>
      <c r="AA194" s="212"/>
      <c r="AB194" s="212"/>
      <c r="AC194" s="212"/>
      <c r="AD194" s="212"/>
      <c r="AE194" s="212"/>
      <c r="AF194" s="212"/>
      <c r="AG194" s="212"/>
      <c r="AH194" s="212"/>
      <c r="AI194" s="212"/>
      <c r="AJ194" s="212"/>
      <c r="AK194" s="212"/>
      <c r="AL194" s="212"/>
      <c r="AM194" s="212"/>
      <c r="AN194" s="229">
        <f t="shared" si="26"/>
        <v>77802.880000000005</v>
      </c>
      <c r="AP194" s="37">
        <f t="shared" si="29"/>
        <v>16345</v>
      </c>
      <c r="AQ194" s="37">
        <f t="shared" si="29"/>
        <v>0</v>
      </c>
      <c r="AR194" s="37">
        <f t="shared" si="29"/>
        <v>18500</v>
      </c>
      <c r="AS194" s="37">
        <f t="shared" si="29"/>
        <v>200</v>
      </c>
      <c r="AT194" s="37">
        <f t="shared" si="29"/>
        <v>0</v>
      </c>
      <c r="AU194" s="37">
        <f t="shared" si="29"/>
        <v>0</v>
      </c>
      <c r="AV194" s="37">
        <f t="shared" si="29"/>
        <v>3246.88</v>
      </c>
      <c r="AW194" s="37">
        <f t="shared" si="29"/>
        <v>39511</v>
      </c>
      <c r="AX194" s="37">
        <f t="shared" si="29"/>
        <v>0</v>
      </c>
      <c r="AY194" s="64">
        <f t="shared" si="22"/>
        <v>0</v>
      </c>
    </row>
    <row r="195" spans="1:51">
      <c r="A195" s="231">
        <v>3380</v>
      </c>
      <c r="B195" s="4">
        <v>103465</v>
      </c>
      <c r="C195" s="4" t="s">
        <v>511</v>
      </c>
      <c r="D195" s="4" t="s">
        <v>512</v>
      </c>
      <c r="E195" s="4" t="s">
        <v>5</v>
      </c>
      <c r="F195" s="232" t="s">
        <v>415</v>
      </c>
      <c r="H195" s="211">
        <v>7412</v>
      </c>
      <c r="I195" s="212">
        <v>0</v>
      </c>
      <c r="J195" s="212">
        <v>8776</v>
      </c>
      <c r="K195" s="211">
        <v>900</v>
      </c>
      <c r="L195" s="211">
        <v>0</v>
      </c>
      <c r="M195" s="212">
        <v>7239</v>
      </c>
      <c r="N195" s="244">
        <v>0</v>
      </c>
      <c r="O195" s="212">
        <v>0</v>
      </c>
      <c r="P195" s="212">
        <v>0</v>
      </c>
      <c r="Q195" s="212">
        <v>10776</v>
      </c>
      <c r="R195" s="212">
        <v>17097</v>
      </c>
      <c r="S195" s="212">
        <v>1595</v>
      </c>
      <c r="T195" s="212">
        <v>0</v>
      </c>
      <c r="U195" s="212"/>
      <c r="V195" s="212">
        <v>0</v>
      </c>
      <c r="W195" s="212">
        <v>0</v>
      </c>
      <c r="X195" s="212">
        <v>18227</v>
      </c>
      <c r="Y195" s="212"/>
      <c r="Z195" s="212"/>
      <c r="AA195" s="212"/>
      <c r="AB195" s="212"/>
      <c r="AC195" s="212"/>
      <c r="AD195" s="212"/>
      <c r="AE195" s="212"/>
      <c r="AF195" s="212"/>
      <c r="AG195" s="212"/>
      <c r="AH195" s="212"/>
      <c r="AI195" s="212"/>
      <c r="AJ195" s="212"/>
      <c r="AK195" s="212"/>
      <c r="AL195" s="212"/>
      <c r="AM195" s="212"/>
      <c r="AN195" s="229">
        <f t="shared" si="26"/>
        <v>72022</v>
      </c>
      <c r="AP195" s="37">
        <f t="shared" si="29"/>
        <v>16015</v>
      </c>
      <c r="AQ195" s="37">
        <f t="shared" si="29"/>
        <v>0</v>
      </c>
      <c r="AR195" s="37">
        <f t="shared" si="29"/>
        <v>17097</v>
      </c>
      <c r="AS195" s="37">
        <f t="shared" si="29"/>
        <v>0</v>
      </c>
      <c r="AT195" s="37">
        <f t="shared" si="29"/>
        <v>0</v>
      </c>
      <c r="AU195" s="37">
        <f t="shared" si="29"/>
        <v>0</v>
      </c>
      <c r="AV195" s="37">
        <f t="shared" si="29"/>
        <v>2495</v>
      </c>
      <c r="AW195" s="37">
        <f t="shared" si="29"/>
        <v>36415</v>
      </c>
      <c r="AX195" s="37">
        <f t="shared" si="29"/>
        <v>0</v>
      </c>
      <c r="AY195" s="64">
        <f t="shared" si="22"/>
        <v>0</v>
      </c>
    </row>
    <row r="196" spans="1:51">
      <c r="A196" s="231">
        <v>3335</v>
      </c>
      <c r="B196" s="4">
        <v>103434</v>
      </c>
      <c r="C196" s="4" t="s">
        <v>514</v>
      </c>
      <c r="D196" s="4" t="s">
        <v>515</v>
      </c>
      <c r="E196" s="4" t="s">
        <v>5</v>
      </c>
      <c r="F196" s="232" t="s">
        <v>415</v>
      </c>
      <c r="H196" s="211">
        <v>7396</v>
      </c>
      <c r="I196" s="212">
        <v>0</v>
      </c>
      <c r="J196" s="212">
        <v>10970</v>
      </c>
      <c r="K196" s="211">
        <v>2868.75</v>
      </c>
      <c r="L196" s="211">
        <v>0</v>
      </c>
      <c r="M196" s="212">
        <v>9027</v>
      </c>
      <c r="N196" s="244">
        <v>0</v>
      </c>
      <c r="O196" s="212">
        <v>0</v>
      </c>
      <c r="P196" s="212">
        <v>0</v>
      </c>
      <c r="Q196" s="212">
        <v>4907</v>
      </c>
      <c r="R196" s="212">
        <v>45880</v>
      </c>
      <c r="S196" s="212">
        <v>4495</v>
      </c>
      <c r="T196" s="212">
        <v>200</v>
      </c>
      <c r="U196" s="212"/>
      <c r="V196" s="212">
        <v>0</v>
      </c>
      <c r="W196" s="212">
        <v>0</v>
      </c>
      <c r="X196" s="212">
        <v>9815</v>
      </c>
      <c r="Y196" s="212"/>
      <c r="Z196" s="212"/>
      <c r="AA196" s="212"/>
      <c r="AB196" s="212"/>
      <c r="AC196" s="212"/>
      <c r="AD196" s="212"/>
      <c r="AE196" s="212"/>
      <c r="AF196" s="212"/>
      <c r="AG196" s="212"/>
      <c r="AH196" s="212"/>
      <c r="AI196" s="212"/>
      <c r="AJ196" s="212"/>
      <c r="AK196" s="212"/>
      <c r="AL196" s="212"/>
      <c r="AM196" s="212"/>
      <c r="AN196" s="229">
        <f t="shared" si="26"/>
        <v>95558.75</v>
      </c>
      <c r="AP196" s="37">
        <f t="shared" si="29"/>
        <v>19997</v>
      </c>
      <c r="AQ196" s="37">
        <f t="shared" si="29"/>
        <v>0</v>
      </c>
      <c r="AR196" s="37">
        <f t="shared" si="29"/>
        <v>45880</v>
      </c>
      <c r="AS196" s="37">
        <f t="shared" si="29"/>
        <v>200</v>
      </c>
      <c r="AT196" s="37">
        <f t="shared" si="29"/>
        <v>0</v>
      </c>
      <c r="AU196" s="37">
        <f t="shared" si="29"/>
        <v>0</v>
      </c>
      <c r="AV196" s="37">
        <f t="shared" si="29"/>
        <v>7363.75</v>
      </c>
      <c r="AW196" s="37">
        <f t="shared" si="29"/>
        <v>22118</v>
      </c>
      <c r="AX196" s="37">
        <f t="shared" si="29"/>
        <v>0</v>
      </c>
      <c r="AY196" s="64">
        <f t="shared" si="22"/>
        <v>0</v>
      </c>
    </row>
    <row r="197" spans="1:51">
      <c r="A197" s="231">
        <v>3372</v>
      </c>
      <c r="B197" s="4">
        <v>103460</v>
      </c>
      <c r="C197" s="4" t="s">
        <v>517</v>
      </c>
      <c r="D197" s="4" t="s">
        <v>518</v>
      </c>
      <c r="E197" s="4" t="s">
        <v>5</v>
      </c>
      <c r="F197" s="232" t="s">
        <v>415</v>
      </c>
      <c r="H197" s="211">
        <v>8725</v>
      </c>
      <c r="I197" s="212">
        <v>0</v>
      </c>
      <c r="J197" s="212">
        <v>26241</v>
      </c>
      <c r="K197" s="211">
        <v>6750</v>
      </c>
      <c r="L197" s="211">
        <v>0</v>
      </c>
      <c r="M197" s="212">
        <v>21611</v>
      </c>
      <c r="N197" s="244">
        <v>0</v>
      </c>
      <c r="O197" s="212">
        <v>0</v>
      </c>
      <c r="P197" s="212">
        <v>0</v>
      </c>
      <c r="Q197" s="212">
        <v>29783</v>
      </c>
      <c r="R197" s="212">
        <v>98400</v>
      </c>
      <c r="S197" s="212">
        <v>9533.75</v>
      </c>
      <c r="T197" s="212">
        <v>200</v>
      </c>
      <c r="U197" s="212"/>
      <c r="V197" s="212">
        <v>0</v>
      </c>
      <c r="W197" s="212">
        <v>0</v>
      </c>
      <c r="X197" s="212">
        <v>36594</v>
      </c>
      <c r="Y197" s="212"/>
      <c r="Z197" s="212"/>
      <c r="AA197" s="212"/>
      <c r="AB197" s="212"/>
      <c r="AC197" s="212"/>
      <c r="AD197" s="212"/>
      <c r="AE197" s="212"/>
      <c r="AF197" s="212"/>
      <c r="AG197" s="212"/>
      <c r="AH197" s="212"/>
      <c r="AI197" s="212"/>
      <c r="AJ197" s="212"/>
      <c r="AK197" s="212"/>
      <c r="AL197" s="212"/>
      <c r="AM197" s="212"/>
      <c r="AN197" s="229">
        <f t="shared" si="26"/>
        <v>237837.75</v>
      </c>
      <c r="AP197" s="37">
        <f t="shared" si="29"/>
        <v>47852</v>
      </c>
      <c r="AQ197" s="37">
        <f t="shared" si="29"/>
        <v>0</v>
      </c>
      <c r="AR197" s="37">
        <f t="shared" si="29"/>
        <v>98400</v>
      </c>
      <c r="AS197" s="37">
        <f t="shared" si="29"/>
        <v>200</v>
      </c>
      <c r="AT197" s="37">
        <f t="shared" si="29"/>
        <v>0</v>
      </c>
      <c r="AU197" s="37">
        <f t="shared" si="29"/>
        <v>0</v>
      </c>
      <c r="AV197" s="37">
        <f t="shared" si="29"/>
        <v>16283.75</v>
      </c>
      <c r="AW197" s="37">
        <f t="shared" si="29"/>
        <v>75102</v>
      </c>
      <c r="AX197" s="37">
        <f t="shared" si="29"/>
        <v>0</v>
      </c>
      <c r="AY197" s="64">
        <f t="shared" si="22"/>
        <v>0</v>
      </c>
    </row>
    <row r="198" spans="1:51">
      <c r="A198" s="231">
        <v>3355</v>
      </c>
      <c r="B198" s="4">
        <v>103447</v>
      </c>
      <c r="C198" s="4" t="s">
        <v>520</v>
      </c>
      <c r="D198" s="4" t="s">
        <v>521</v>
      </c>
      <c r="E198" s="4" t="s">
        <v>5</v>
      </c>
      <c r="F198" s="232" t="s">
        <v>415</v>
      </c>
      <c r="H198" s="211">
        <v>8129</v>
      </c>
      <c r="I198" s="212">
        <v>0</v>
      </c>
      <c r="J198" s="212">
        <v>16664</v>
      </c>
      <c r="K198" s="211">
        <v>3009.38</v>
      </c>
      <c r="L198" s="211">
        <v>0</v>
      </c>
      <c r="M198" s="212">
        <v>13743</v>
      </c>
      <c r="N198" s="244">
        <v>0</v>
      </c>
      <c r="O198" s="212">
        <v>0</v>
      </c>
      <c r="P198" s="212">
        <v>0</v>
      </c>
      <c r="Q198" s="212">
        <v>22933</v>
      </c>
      <c r="R198" s="212">
        <v>38460</v>
      </c>
      <c r="S198" s="212">
        <v>3661.25</v>
      </c>
      <c r="T198" s="212">
        <v>0</v>
      </c>
      <c r="U198" s="212"/>
      <c r="V198" s="212">
        <v>0</v>
      </c>
      <c r="W198" s="212">
        <v>0</v>
      </c>
      <c r="X198" s="212">
        <v>33089</v>
      </c>
      <c r="Y198" s="212"/>
      <c r="Z198" s="212"/>
      <c r="AA198" s="212"/>
      <c r="AB198" s="212"/>
      <c r="AC198" s="212"/>
      <c r="AD198" s="212"/>
      <c r="AE198" s="212"/>
      <c r="AF198" s="212"/>
      <c r="AG198" s="212"/>
      <c r="AH198" s="212"/>
      <c r="AI198" s="212"/>
      <c r="AJ198" s="212"/>
      <c r="AK198" s="212"/>
      <c r="AL198" s="212"/>
      <c r="AM198" s="212"/>
      <c r="AN198" s="229">
        <f t="shared" si="26"/>
        <v>139688.63</v>
      </c>
      <c r="AP198" s="37">
        <f t="shared" si="29"/>
        <v>30407</v>
      </c>
      <c r="AQ198" s="37">
        <f t="shared" si="29"/>
        <v>0</v>
      </c>
      <c r="AR198" s="37">
        <f t="shared" si="29"/>
        <v>38460</v>
      </c>
      <c r="AS198" s="37">
        <f t="shared" si="29"/>
        <v>0</v>
      </c>
      <c r="AT198" s="37">
        <f t="shared" si="29"/>
        <v>0</v>
      </c>
      <c r="AU198" s="37">
        <f t="shared" si="29"/>
        <v>0</v>
      </c>
      <c r="AV198" s="37">
        <f t="shared" si="29"/>
        <v>6670.63</v>
      </c>
      <c r="AW198" s="37">
        <f t="shared" si="29"/>
        <v>64151</v>
      </c>
      <c r="AX198" s="37">
        <f t="shared" si="29"/>
        <v>0</v>
      </c>
      <c r="AY198" s="64">
        <f t="shared" si="22"/>
        <v>0</v>
      </c>
    </row>
    <row r="199" spans="1:51">
      <c r="A199" s="231">
        <v>3367</v>
      </c>
      <c r="B199" s="4">
        <v>103458</v>
      </c>
      <c r="C199" s="4" t="s">
        <v>523</v>
      </c>
      <c r="D199" s="4" t="s">
        <v>524</v>
      </c>
      <c r="E199" s="4" t="s">
        <v>5</v>
      </c>
      <c r="F199" s="232" t="s">
        <v>415</v>
      </c>
      <c r="H199" s="211">
        <v>7417</v>
      </c>
      <c r="I199" s="212">
        <v>0</v>
      </c>
      <c r="J199" s="212">
        <v>9832</v>
      </c>
      <c r="K199" s="211">
        <v>2053.13</v>
      </c>
      <c r="L199" s="211">
        <v>0</v>
      </c>
      <c r="M199" s="212">
        <v>8100</v>
      </c>
      <c r="N199" s="244">
        <v>0</v>
      </c>
      <c r="O199" s="212">
        <v>0</v>
      </c>
      <c r="P199" s="212">
        <v>0</v>
      </c>
      <c r="Q199" s="212">
        <v>7690</v>
      </c>
      <c r="R199" s="212">
        <v>31897</v>
      </c>
      <c r="S199" s="212">
        <v>3045</v>
      </c>
      <c r="T199" s="212">
        <v>0</v>
      </c>
      <c r="U199" s="212"/>
      <c r="V199" s="212">
        <v>0</v>
      </c>
      <c r="W199" s="212">
        <v>3598</v>
      </c>
      <c r="X199" s="212">
        <v>12339</v>
      </c>
      <c r="Y199" s="212"/>
      <c r="Z199" s="212"/>
      <c r="AA199" s="212"/>
      <c r="AB199" s="212"/>
      <c r="AC199" s="212"/>
      <c r="AD199" s="212"/>
      <c r="AE199" s="212"/>
      <c r="AF199" s="212"/>
      <c r="AG199" s="212"/>
      <c r="AH199" s="212"/>
      <c r="AI199" s="212"/>
      <c r="AJ199" s="212"/>
      <c r="AK199" s="212"/>
      <c r="AL199" s="212"/>
      <c r="AM199" s="212"/>
      <c r="AN199" s="229">
        <f t="shared" si="26"/>
        <v>85971.13</v>
      </c>
      <c r="AP199" s="37">
        <f t="shared" si="29"/>
        <v>21530</v>
      </c>
      <c r="AQ199" s="37">
        <f t="shared" si="29"/>
        <v>0</v>
      </c>
      <c r="AR199" s="37">
        <f t="shared" si="29"/>
        <v>31897</v>
      </c>
      <c r="AS199" s="37">
        <f t="shared" si="29"/>
        <v>0</v>
      </c>
      <c r="AT199" s="37">
        <f t="shared" si="29"/>
        <v>0</v>
      </c>
      <c r="AU199" s="37">
        <f t="shared" si="29"/>
        <v>0</v>
      </c>
      <c r="AV199" s="37">
        <f t="shared" si="29"/>
        <v>5098.13</v>
      </c>
      <c r="AW199" s="37">
        <f t="shared" si="29"/>
        <v>27446</v>
      </c>
      <c r="AX199" s="37">
        <f t="shared" si="29"/>
        <v>0</v>
      </c>
      <c r="AY199" s="64">
        <f t="shared" si="22"/>
        <v>0</v>
      </c>
    </row>
    <row r="200" spans="1:51">
      <c r="A200" s="231">
        <v>3361</v>
      </c>
      <c r="B200" s="4">
        <v>103453</v>
      </c>
      <c r="C200" s="4" t="s">
        <v>526</v>
      </c>
      <c r="D200" s="4" t="s">
        <v>527</v>
      </c>
      <c r="E200" s="4" t="s">
        <v>5</v>
      </c>
      <c r="F200" s="232" t="s">
        <v>415</v>
      </c>
      <c r="H200" s="211">
        <v>7996</v>
      </c>
      <c r="I200" s="212">
        <v>0</v>
      </c>
      <c r="J200" s="212">
        <v>16233</v>
      </c>
      <c r="K200" s="211">
        <v>4443.75</v>
      </c>
      <c r="L200" s="211">
        <v>0</v>
      </c>
      <c r="M200" s="212">
        <v>13370</v>
      </c>
      <c r="N200" s="244">
        <v>0</v>
      </c>
      <c r="O200" s="212">
        <v>0</v>
      </c>
      <c r="P200" s="212">
        <v>0</v>
      </c>
      <c r="Q200" s="212">
        <v>15502</v>
      </c>
      <c r="R200" s="212">
        <v>57350</v>
      </c>
      <c r="S200" s="212">
        <v>5618.75</v>
      </c>
      <c r="T200" s="212">
        <v>0</v>
      </c>
      <c r="U200" s="212"/>
      <c r="V200" s="212">
        <v>0</v>
      </c>
      <c r="W200" s="212">
        <v>0</v>
      </c>
      <c r="X200" s="212">
        <v>20330</v>
      </c>
      <c r="Y200" s="212"/>
      <c r="Z200" s="212"/>
      <c r="AA200" s="212"/>
      <c r="AB200" s="212"/>
      <c r="AC200" s="212"/>
      <c r="AD200" s="212"/>
      <c r="AE200" s="212"/>
      <c r="AF200" s="212"/>
      <c r="AG200" s="212"/>
      <c r="AH200" s="212"/>
      <c r="AI200" s="212"/>
      <c r="AJ200" s="212"/>
      <c r="AK200" s="212"/>
      <c r="AL200" s="212"/>
      <c r="AM200" s="212"/>
      <c r="AN200" s="229">
        <f t="shared" ref="AN200:AN217" si="30">SUM(H200:AM200)</f>
        <v>140843.5</v>
      </c>
      <c r="AP200" s="37">
        <f t="shared" si="29"/>
        <v>29603</v>
      </c>
      <c r="AQ200" s="37">
        <f t="shared" si="29"/>
        <v>0</v>
      </c>
      <c r="AR200" s="37">
        <f t="shared" si="29"/>
        <v>57350</v>
      </c>
      <c r="AS200" s="37">
        <f t="shared" si="29"/>
        <v>0</v>
      </c>
      <c r="AT200" s="37">
        <f t="shared" si="29"/>
        <v>0</v>
      </c>
      <c r="AU200" s="37">
        <f t="shared" si="29"/>
        <v>0</v>
      </c>
      <c r="AV200" s="37">
        <f t="shared" si="29"/>
        <v>10062.5</v>
      </c>
      <c r="AW200" s="37">
        <f t="shared" si="29"/>
        <v>43828</v>
      </c>
      <c r="AX200" s="37">
        <f t="shared" si="29"/>
        <v>0</v>
      </c>
      <c r="AY200" s="64">
        <f t="shared" si="22"/>
        <v>0</v>
      </c>
    </row>
    <row r="201" spans="1:51">
      <c r="A201" s="231">
        <v>3344</v>
      </c>
      <c r="B201" s="4">
        <v>103438</v>
      </c>
      <c r="C201" s="4" t="s">
        <v>529</v>
      </c>
      <c r="D201" s="4" t="s">
        <v>530</v>
      </c>
      <c r="E201" s="4" t="s">
        <v>5</v>
      </c>
      <c r="F201" s="232" t="s">
        <v>415</v>
      </c>
      <c r="H201" s="211">
        <v>8167</v>
      </c>
      <c r="I201" s="212">
        <v>0</v>
      </c>
      <c r="J201" s="212">
        <v>16281</v>
      </c>
      <c r="K201" s="211">
        <v>1884.38</v>
      </c>
      <c r="L201" s="211">
        <v>0</v>
      </c>
      <c r="M201" s="212">
        <v>13433</v>
      </c>
      <c r="N201" s="244">
        <v>0</v>
      </c>
      <c r="O201" s="212">
        <v>0</v>
      </c>
      <c r="P201" s="212">
        <v>0</v>
      </c>
      <c r="Q201" s="212">
        <v>25016</v>
      </c>
      <c r="R201" s="212">
        <v>29017</v>
      </c>
      <c r="S201" s="212">
        <v>2791.25</v>
      </c>
      <c r="T201" s="212">
        <v>800</v>
      </c>
      <c r="U201" s="212"/>
      <c r="V201" s="212">
        <v>0</v>
      </c>
      <c r="W201" s="212">
        <v>0</v>
      </c>
      <c r="X201" s="212">
        <v>37575</v>
      </c>
      <c r="Y201" s="212"/>
      <c r="Z201" s="212"/>
      <c r="AA201" s="212"/>
      <c r="AB201" s="212"/>
      <c r="AC201" s="212"/>
      <c r="AD201" s="212"/>
      <c r="AE201" s="212"/>
      <c r="AF201" s="212"/>
      <c r="AG201" s="212"/>
      <c r="AH201" s="212"/>
      <c r="AI201" s="212"/>
      <c r="AJ201" s="212"/>
      <c r="AK201" s="212"/>
      <c r="AL201" s="212"/>
      <c r="AM201" s="212"/>
      <c r="AN201" s="229">
        <f t="shared" si="30"/>
        <v>134964.63</v>
      </c>
      <c r="AP201" s="37">
        <f t="shared" si="29"/>
        <v>29714</v>
      </c>
      <c r="AQ201" s="37">
        <f t="shared" si="29"/>
        <v>0</v>
      </c>
      <c r="AR201" s="37">
        <f t="shared" si="29"/>
        <v>29017</v>
      </c>
      <c r="AS201" s="37">
        <f t="shared" si="29"/>
        <v>800</v>
      </c>
      <c r="AT201" s="37">
        <f t="shared" si="29"/>
        <v>0</v>
      </c>
      <c r="AU201" s="37">
        <f t="shared" si="29"/>
        <v>0</v>
      </c>
      <c r="AV201" s="37">
        <f t="shared" si="29"/>
        <v>4675.63</v>
      </c>
      <c r="AW201" s="37">
        <f t="shared" si="29"/>
        <v>70758</v>
      </c>
      <c r="AX201" s="37">
        <f t="shared" si="29"/>
        <v>0</v>
      </c>
      <c r="AY201" s="64">
        <f t="shared" ref="AY201:AY217" si="31">SUM(AP201:AX201)-AN201</f>
        <v>0</v>
      </c>
    </row>
    <row r="202" spans="1:51">
      <c r="A202" s="231">
        <v>3385</v>
      </c>
      <c r="B202" s="4">
        <v>103469</v>
      </c>
      <c r="C202" s="4" t="s">
        <v>532</v>
      </c>
      <c r="D202" s="4" t="s">
        <v>533</v>
      </c>
      <c r="E202" s="4" t="s">
        <v>5</v>
      </c>
      <c r="F202" s="232" t="s">
        <v>415</v>
      </c>
      <c r="H202" s="211">
        <v>7408</v>
      </c>
      <c r="I202" s="212">
        <v>0</v>
      </c>
      <c r="J202" s="212">
        <v>10093</v>
      </c>
      <c r="K202" s="211">
        <v>2390.63</v>
      </c>
      <c r="L202" s="211">
        <v>0</v>
      </c>
      <c r="M202" s="212">
        <v>8315</v>
      </c>
      <c r="N202" s="244">
        <v>0</v>
      </c>
      <c r="O202" s="212">
        <v>0</v>
      </c>
      <c r="P202" s="212">
        <v>0</v>
      </c>
      <c r="Q202" s="212">
        <v>11777</v>
      </c>
      <c r="R202" s="212">
        <v>33190</v>
      </c>
      <c r="S202" s="212">
        <v>3190</v>
      </c>
      <c r="T202" s="212">
        <v>0</v>
      </c>
      <c r="U202" s="212"/>
      <c r="V202" s="212">
        <v>0</v>
      </c>
      <c r="W202" s="212">
        <v>0</v>
      </c>
      <c r="X202" s="212">
        <v>15704</v>
      </c>
      <c r="Y202" s="212"/>
      <c r="Z202" s="212"/>
      <c r="AA202" s="212"/>
      <c r="AB202" s="212"/>
      <c r="AC202" s="212"/>
      <c r="AD202" s="212"/>
      <c r="AE202" s="212"/>
      <c r="AF202" s="212"/>
      <c r="AG202" s="212"/>
      <c r="AH202" s="212"/>
      <c r="AI202" s="212"/>
      <c r="AJ202" s="212"/>
      <c r="AK202" s="212"/>
      <c r="AL202" s="212"/>
      <c r="AM202" s="212"/>
      <c r="AN202" s="229">
        <f t="shared" si="30"/>
        <v>92067.63</v>
      </c>
      <c r="AP202" s="37">
        <f t="shared" ref="AP202:AX211" si="32">SUMIF($H$3:$AM$3,AP$6,$H202:$AM202)</f>
        <v>18408</v>
      </c>
      <c r="AQ202" s="37">
        <f t="shared" si="32"/>
        <v>0</v>
      </c>
      <c r="AR202" s="37">
        <f t="shared" si="32"/>
        <v>33190</v>
      </c>
      <c r="AS202" s="37">
        <f t="shared" si="32"/>
        <v>0</v>
      </c>
      <c r="AT202" s="37">
        <f t="shared" si="32"/>
        <v>0</v>
      </c>
      <c r="AU202" s="37">
        <f t="shared" si="32"/>
        <v>0</v>
      </c>
      <c r="AV202" s="37">
        <f t="shared" si="32"/>
        <v>5580.63</v>
      </c>
      <c r="AW202" s="37">
        <f t="shared" si="32"/>
        <v>34889</v>
      </c>
      <c r="AX202" s="37">
        <f t="shared" si="32"/>
        <v>0</v>
      </c>
      <c r="AY202" s="64">
        <f t="shared" si="31"/>
        <v>0</v>
      </c>
    </row>
    <row r="203" spans="1:51">
      <c r="A203" s="231">
        <v>3019</v>
      </c>
      <c r="B203" s="4">
        <v>103406</v>
      </c>
      <c r="C203" s="4" t="s">
        <v>535</v>
      </c>
      <c r="D203" s="4" t="s">
        <v>536</v>
      </c>
      <c r="E203" s="4" t="s">
        <v>5</v>
      </c>
      <c r="F203" s="232" t="s">
        <v>415</v>
      </c>
      <c r="H203" s="211">
        <v>8162</v>
      </c>
      <c r="I203" s="212">
        <v>0</v>
      </c>
      <c r="J203" s="212">
        <v>18763</v>
      </c>
      <c r="K203" s="211">
        <v>4331.25</v>
      </c>
      <c r="L203" s="211">
        <v>0</v>
      </c>
      <c r="M203" s="212">
        <v>15453</v>
      </c>
      <c r="N203" s="244">
        <v>0</v>
      </c>
      <c r="O203" s="212">
        <v>0</v>
      </c>
      <c r="P203" s="212">
        <v>0</v>
      </c>
      <c r="Q203" s="212">
        <v>13861</v>
      </c>
      <c r="R203" s="212">
        <v>67242</v>
      </c>
      <c r="S203" s="212">
        <v>6561.25</v>
      </c>
      <c r="T203" s="212">
        <v>0</v>
      </c>
      <c r="U203" s="212"/>
      <c r="V203" s="212">
        <v>0</v>
      </c>
      <c r="W203" s="212">
        <v>0</v>
      </c>
      <c r="X203" s="212">
        <v>26079</v>
      </c>
      <c r="Y203" s="212"/>
      <c r="Z203" s="212"/>
      <c r="AA203" s="212"/>
      <c r="AB203" s="212"/>
      <c r="AC203" s="212"/>
      <c r="AD203" s="212"/>
      <c r="AE203" s="212"/>
      <c r="AF203" s="212"/>
      <c r="AG203" s="212"/>
      <c r="AH203" s="212"/>
      <c r="AI203" s="212"/>
      <c r="AJ203" s="212"/>
      <c r="AK203" s="212"/>
      <c r="AL203" s="212"/>
      <c r="AM203" s="212"/>
      <c r="AN203" s="229">
        <f t="shared" si="30"/>
        <v>160452.5</v>
      </c>
      <c r="AP203" s="37">
        <f t="shared" si="32"/>
        <v>34216</v>
      </c>
      <c r="AQ203" s="37">
        <f t="shared" si="32"/>
        <v>0</v>
      </c>
      <c r="AR203" s="37">
        <f t="shared" si="32"/>
        <v>67242</v>
      </c>
      <c r="AS203" s="37">
        <f t="shared" si="32"/>
        <v>0</v>
      </c>
      <c r="AT203" s="37">
        <f t="shared" si="32"/>
        <v>0</v>
      </c>
      <c r="AU203" s="37">
        <f t="shared" si="32"/>
        <v>0</v>
      </c>
      <c r="AV203" s="37">
        <f t="shared" si="32"/>
        <v>10892.5</v>
      </c>
      <c r="AW203" s="37">
        <f t="shared" si="32"/>
        <v>48102</v>
      </c>
      <c r="AX203" s="37">
        <f t="shared" si="32"/>
        <v>0</v>
      </c>
      <c r="AY203" s="64">
        <f t="shared" si="31"/>
        <v>0</v>
      </c>
    </row>
    <row r="204" spans="1:51">
      <c r="A204" s="231">
        <v>2178</v>
      </c>
      <c r="B204" s="4">
        <v>103257</v>
      </c>
      <c r="C204" s="4" t="s">
        <v>538</v>
      </c>
      <c r="D204" s="4" t="s">
        <v>539</v>
      </c>
      <c r="E204" s="4" t="s">
        <v>5</v>
      </c>
      <c r="F204" s="232" t="s">
        <v>415</v>
      </c>
      <c r="H204" s="211">
        <v>7479</v>
      </c>
      <c r="I204" s="212">
        <v>0</v>
      </c>
      <c r="J204" s="212">
        <v>10144</v>
      </c>
      <c r="K204" s="211">
        <v>2362.5</v>
      </c>
      <c r="L204" s="211">
        <v>0</v>
      </c>
      <c r="M204" s="212">
        <v>8355</v>
      </c>
      <c r="N204" s="244">
        <v>0</v>
      </c>
      <c r="O204" s="212">
        <v>0</v>
      </c>
      <c r="P204" s="212">
        <v>0</v>
      </c>
      <c r="Q204" s="212">
        <v>9714</v>
      </c>
      <c r="R204" s="212">
        <v>36142</v>
      </c>
      <c r="S204" s="212">
        <v>3407.5</v>
      </c>
      <c r="T204" s="212">
        <v>200</v>
      </c>
      <c r="U204" s="212"/>
      <c r="V204" s="212">
        <v>0</v>
      </c>
      <c r="W204" s="212">
        <v>7196</v>
      </c>
      <c r="X204" s="212">
        <v>12619</v>
      </c>
      <c r="Y204" s="212"/>
      <c r="Z204" s="212"/>
      <c r="AA204" s="212"/>
      <c r="AB204" s="212"/>
      <c r="AC204" s="212"/>
      <c r="AD204" s="212"/>
      <c r="AE204" s="212"/>
      <c r="AF204" s="212"/>
      <c r="AG204" s="212"/>
      <c r="AH204" s="212"/>
      <c r="AI204" s="212"/>
      <c r="AJ204" s="212"/>
      <c r="AK204" s="212"/>
      <c r="AL204" s="212"/>
      <c r="AM204" s="212"/>
      <c r="AN204" s="229">
        <f t="shared" si="30"/>
        <v>97619</v>
      </c>
      <c r="AP204" s="37">
        <f t="shared" si="32"/>
        <v>25695</v>
      </c>
      <c r="AQ204" s="37">
        <f t="shared" si="32"/>
        <v>0</v>
      </c>
      <c r="AR204" s="37">
        <f t="shared" si="32"/>
        <v>36142</v>
      </c>
      <c r="AS204" s="37">
        <f t="shared" si="32"/>
        <v>200</v>
      </c>
      <c r="AT204" s="37">
        <f t="shared" si="32"/>
        <v>0</v>
      </c>
      <c r="AU204" s="37">
        <f t="shared" si="32"/>
        <v>0</v>
      </c>
      <c r="AV204" s="37">
        <f t="shared" si="32"/>
        <v>5770</v>
      </c>
      <c r="AW204" s="37">
        <f t="shared" si="32"/>
        <v>29812</v>
      </c>
      <c r="AX204" s="37">
        <f t="shared" si="32"/>
        <v>0</v>
      </c>
      <c r="AY204" s="64">
        <f t="shared" si="31"/>
        <v>0</v>
      </c>
    </row>
    <row r="205" spans="1:51">
      <c r="A205" s="231">
        <v>2097</v>
      </c>
      <c r="B205" s="4">
        <v>103213</v>
      </c>
      <c r="C205" s="4" t="s">
        <v>541</v>
      </c>
      <c r="D205" s="4" t="s">
        <v>542</v>
      </c>
      <c r="E205" s="4" t="s">
        <v>5</v>
      </c>
      <c r="F205" s="232" t="s">
        <v>415</v>
      </c>
      <c r="H205" s="211">
        <v>7417</v>
      </c>
      <c r="I205" s="212">
        <v>0</v>
      </c>
      <c r="J205" s="212">
        <v>10555</v>
      </c>
      <c r="K205" s="211">
        <v>2615.63</v>
      </c>
      <c r="L205" s="211">
        <v>0</v>
      </c>
      <c r="M205" s="212">
        <v>8691</v>
      </c>
      <c r="N205" s="244">
        <v>0</v>
      </c>
      <c r="O205" s="212">
        <v>0</v>
      </c>
      <c r="P205" s="212">
        <v>0</v>
      </c>
      <c r="Q205" s="212">
        <v>7450</v>
      </c>
      <c r="R205" s="212">
        <v>39480</v>
      </c>
      <c r="S205" s="212">
        <v>3806.25</v>
      </c>
      <c r="T205" s="212">
        <v>200</v>
      </c>
      <c r="U205" s="212"/>
      <c r="V205" s="212">
        <v>0</v>
      </c>
      <c r="W205" s="212">
        <v>1799</v>
      </c>
      <c r="X205" s="212">
        <v>13180</v>
      </c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212"/>
      <c r="AK205" s="212"/>
      <c r="AL205" s="212"/>
      <c r="AM205" s="212"/>
      <c r="AN205" s="229">
        <f t="shared" si="30"/>
        <v>95193.88</v>
      </c>
      <c r="AP205" s="37">
        <f t="shared" si="32"/>
        <v>21045</v>
      </c>
      <c r="AQ205" s="37">
        <f t="shared" si="32"/>
        <v>0</v>
      </c>
      <c r="AR205" s="37">
        <f t="shared" si="32"/>
        <v>39480</v>
      </c>
      <c r="AS205" s="37">
        <f t="shared" si="32"/>
        <v>200</v>
      </c>
      <c r="AT205" s="37">
        <f t="shared" si="32"/>
        <v>0</v>
      </c>
      <c r="AU205" s="37">
        <f t="shared" si="32"/>
        <v>0</v>
      </c>
      <c r="AV205" s="37">
        <f t="shared" si="32"/>
        <v>6421.88</v>
      </c>
      <c r="AW205" s="37">
        <f t="shared" si="32"/>
        <v>28047</v>
      </c>
      <c r="AX205" s="37">
        <f t="shared" si="32"/>
        <v>0</v>
      </c>
      <c r="AY205" s="64">
        <f t="shared" si="31"/>
        <v>0</v>
      </c>
    </row>
    <row r="206" spans="1:51">
      <c r="A206" s="231">
        <v>2190</v>
      </c>
      <c r="B206" s="4">
        <v>103266</v>
      </c>
      <c r="C206" s="4" t="s">
        <v>544</v>
      </c>
      <c r="D206" s="4" t="s">
        <v>545</v>
      </c>
      <c r="E206" s="4" t="s">
        <v>5</v>
      </c>
      <c r="F206" s="232" t="s">
        <v>415</v>
      </c>
      <c r="H206" s="211">
        <v>7267</v>
      </c>
      <c r="I206" s="212">
        <v>0</v>
      </c>
      <c r="J206" s="212">
        <v>9314</v>
      </c>
      <c r="K206" s="211">
        <v>2503.13</v>
      </c>
      <c r="L206" s="211">
        <v>0</v>
      </c>
      <c r="M206" s="212">
        <v>7665</v>
      </c>
      <c r="N206" s="244">
        <v>0</v>
      </c>
      <c r="O206" s="212">
        <v>0</v>
      </c>
      <c r="P206" s="212">
        <v>0</v>
      </c>
      <c r="Q206" s="212">
        <v>6489</v>
      </c>
      <c r="R206" s="212">
        <v>38285</v>
      </c>
      <c r="S206" s="212">
        <v>3697.5</v>
      </c>
      <c r="T206" s="212">
        <v>400</v>
      </c>
      <c r="U206" s="212"/>
      <c r="V206" s="212">
        <v>0</v>
      </c>
      <c r="W206" s="212">
        <v>0</v>
      </c>
      <c r="X206" s="212">
        <v>8693</v>
      </c>
      <c r="Y206" s="212"/>
      <c r="Z206" s="212"/>
      <c r="AA206" s="212"/>
      <c r="AB206" s="212"/>
      <c r="AC206" s="212"/>
      <c r="AD206" s="212"/>
      <c r="AE206" s="212"/>
      <c r="AF206" s="212"/>
      <c r="AG206" s="212"/>
      <c r="AH206" s="212"/>
      <c r="AI206" s="212"/>
      <c r="AJ206" s="212"/>
      <c r="AK206" s="212"/>
      <c r="AL206" s="212"/>
      <c r="AM206" s="212"/>
      <c r="AN206" s="229">
        <f t="shared" si="30"/>
        <v>84313.63</v>
      </c>
      <c r="AP206" s="37">
        <f t="shared" si="32"/>
        <v>16979</v>
      </c>
      <c r="AQ206" s="37">
        <f t="shared" si="32"/>
        <v>0</v>
      </c>
      <c r="AR206" s="37">
        <f t="shared" si="32"/>
        <v>38285</v>
      </c>
      <c r="AS206" s="37">
        <f t="shared" si="32"/>
        <v>400</v>
      </c>
      <c r="AT206" s="37">
        <f t="shared" si="32"/>
        <v>0</v>
      </c>
      <c r="AU206" s="37">
        <f t="shared" si="32"/>
        <v>0</v>
      </c>
      <c r="AV206" s="37">
        <f t="shared" si="32"/>
        <v>6200.63</v>
      </c>
      <c r="AW206" s="37">
        <f t="shared" si="32"/>
        <v>22449</v>
      </c>
      <c r="AX206" s="37">
        <f t="shared" si="32"/>
        <v>0</v>
      </c>
      <c r="AY206" s="64">
        <f t="shared" si="31"/>
        <v>0</v>
      </c>
    </row>
    <row r="207" spans="1:51">
      <c r="A207" s="231">
        <v>7035</v>
      </c>
      <c r="B207" s="4">
        <v>103615</v>
      </c>
      <c r="C207" s="4" t="s">
        <v>547</v>
      </c>
      <c r="D207" s="4" t="s">
        <v>548</v>
      </c>
      <c r="E207" s="4" t="s">
        <v>1093</v>
      </c>
      <c r="F207" s="232" t="s">
        <v>415</v>
      </c>
      <c r="H207" s="211">
        <v>7267</v>
      </c>
      <c r="I207" s="212">
        <v>89721.51</v>
      </c>
      <c r="J207" s="212">
        <v>0</v>
      </c>
      <c r="K207" s="211">
        <v>5654.69</v>
      </c>
      <c r="L207" s="211">
        <v>0</v>
      </c>
      <c r="M207" s="212">
        <v>0</v>
      </c>
      <c r="N207" s="244">
        <v>0</v>
      </c>
      <c r="O207" s="212">
        <v>0</v>
      </c>
      <c r="P207" s="212">
        <v>0</v>
      </c>
      <c r="Q207" s="212">
        <v>3205</v>
      </c>
      <c r="R207" s="212">
        <v>31800</v>
      </c>
      <c r="S207" s="212">
        <v>10875</v>
      </c>
      <c r="T207" s="212">
        <v>0</v>
      </c>
      <c r="U207" s="212"/>
      <c r="V207" s="212">
        <v>67253.429999999993</v>
      </c>
      <c r="W207" s="212">
        <v>0</v>
      </c>
      <c r="X207" s="212">
        <v>6450</v>
      </c>
      <c r="Y207" s="212"/>
      <c r="Z207" s="212"/>
      <c r="AA207" s="212"/>
      <c r="AB207" s="212"/>
      <c r="AC207" s="212"/>
      <c r="AD207" s="212"/>
      <c r="AE207" s="212"/>
      <c r="AF207" s="212"/>
      <c r="AG207" s="212"/>
      <c r="AH207" s="212"/>
      <c r="AI207" s="212"/>
      <c r="AJ207" s="212"/>
      <c r="AK207" s="212"/>
      <c r="AL207" s="212"/>
      <c r="AM207" s="212"/>
      <c r="AN207" s="229">
        <f t="shared" si="30"/>
        <v>222226.63</v>
      </c>
      <c r="AP207" s="37">
        <f t="shared" si="32"/>
        <v>156974.94</v>
      </c>
      <c r="AQ207" s="37">
        <f t="shared" si="32"/>
        <v>0</v>
      </c>
      <c r="AR207" s="37">
        <f t="shared" si="32"/>
        <v>31800</v>
      </c>
      <c r="AS207" s="37">
        <f t="shared" si="32"/>
        <v>0</v>
      </c>
      <c r="AT207" s="37">
        <f t="shared" si="32"/>
        <v>0</v>
      </c>
      <c r="AU207" s="37">
        <f t="shared" si="32"/>
        <v>0</v>
      </c>
      <c r="AV207" s="37">
        <f t="shared" si="32"/>
        <v>16529.689999999999</v>
      </c>
      <c r="AW207" s="37">
        <f t="shared" si="32"/>
        <v>16922</v>
      </c>
      <c r="AX207" s="37">
        <f t="shared" si="32"/>
        <v>0</v>
      </c>
      <c r="AY207" s="64">
        <f t="shared" si="31"/>
        <v>0</v>
      </c>
    </row>
    <row r="208" spans="1:51">
      <c r="A208" s="231">
        <v>7045</v>
      </c>
      <c r="B208" s="4">
        <v>103622</v>
      </c>
      <c r="C208" s="4" t="s">
        <v>550</v>
      </c>
      <c r="D208" s="4" t="s">
        <v>864</v>
      </c>
      <c r="E208" s="4" t="s">
        <v>1093</v>
      </c>
      <c r="F208" s="232" t="s">
        <v>415</v>
      </c>
      <c r="H208" s="211">
        <v>7183</v>
      </c>
      <c r="I208" s="212">
        <v>161498.72</v>
      </c>
      <c r="J208" s="212">
        <v>0</v>
      </c>
      <c r="K208" s="211">
        <v>9032.81</v>
      </c>
      <c r="L208" s="211">
        <v>0</v>
      </c>
      <c r="M208" s="212">
        <v>0</v>
      </c>
      <c r="N208" s="244">
        <v>0</v>
      </c>
      <c r="O208" s="212">
        <v>0</v>
      </c>
      <c r="P208" s="212">
        <v>0</v>
      </c>
      <c r="Q208" s="212">
        <v>2384</v>
      </c>
      <c r="R208" s="212">
        <v>43700</v>
      </c>
      <c r="S208" s="212">
        <v>29070</v>
      </c>
      <c r="T208" s="212">
        <v>0</v>
      </c>
      <c r="U208" s="212"/>
      <c r="V208" s="212">
        <v>121056.18</v>
      </c>
      <c r="W208" s="212">
        <v>0</v>
      </c>
      <c r="X208" s="212">
        <v>6871</v>
      </c>
      <c r="Y208" s="212"/>
      <c r="Z208" s="212"/>
      <c r="AA208" s="212"/>
      <c r="AB208" s="212"/>
      <c r="AC208" s="212"/>
      <c r="AD208" s="212"/>
      <c r="AE208" s="212"/>
      <c r="AF208" s="212"/>
      <c r="AG208" s="212"/>
      <c r="AH208" s="212"/>
      <c r="AI208" s="212"/>
      <c r="AJ208" s="212"/>
      <c r="AK208" s="212"/>
      <c r="AL208" s="212"/>
      <c r="AM208" s="212"/>
      <c r="AN208" s="229">
        <f t="shared" si="30"/>
        <v>380795.70999999996</v>
      </c>
      <c r="AP208" s="37">
        <f t="shared" si="32"/>
        <v>282554.90000000002</v>
      </c>
      <c r="AQ208" s="37">
        <f t="shared" si="32"/>
        <v>0</v>
      </c>
      <c r="AR208" s="37">
        <f t="shared" si="32"/>
        <v>43700</v>
      </c>
      <c r="AS208" s="37">
        <f t="shared" si="32"/>
        <v>0</v>
      </c>
      <c r="AT208" s="37">
        <f t="shared" si="32"/>
        <v>0</v>
      </c>
      <c r="AU208" s="37">
        <f t="shared" si="32"/>
        <v>0</v>
      </c>
      <c r="AV208" s="37">
        <f t="shared" si="32"/>
        <v>38102.81</v>
      </c>
      <c r="AW208" s="37">
        <f t="shared" si="32"/>
        <v>16438</v>
      </c>
      <c r="AX208" s="37">
        <f t="shared" si="32"/>
        <v>0</v>
      </c>
      <c r="AY208" s="64">
        <f t="shared" si="31"/>
        <v>0</v>
      </c>
    </row>
    <row r="209" spans="1:51">
      <c r="A209" s="231">
        <v>1019</v>
      </c>
      <c r="B209" s="4">
        <v>103132</v>
      </c>
      <c r="C209" s="4" t="s">
        <v>553</v>
      </c>
      <c r="D209" s="4" t="s">
        <v>554</v>
      </c>
      <c r="E209" s="4" t="s">
        <v>180</v>
      </c>
      <c r="F209" s="232" t="s">
        <v>415</v>
      </c>
      <c r="H209" s="211">
        <v>0</v>
      </c>
      <c r="I209" s="212">
        <v>0</v>
      </c>
      <c r="J209" s="212">
        <v>0</v>
      </c>
      <c r="K209" s="211">
        <v>0</v>
      </c>
      <c r="L209" s="211">
        <v>0</v>
      </c>
      <c r="M209" s="212">
        <v>0</v>
      </c>
      <c r="N209" s="244">
        <v>0</v>
      </c>
      <c r="O209" s="212">
        <v>0</v>
      </c>
      <c r="P209" s="212">
        <v>0</v>
      </c>
      <c r="Q209" s="212">
        <v>0</v>
      </c>
      <c r="R209" s="212">
        <v>0</v>
      </c>
      <c r="S209" s="212">
        <v>0</v>
      </c>
      <c r="T209" s="212">
        <v>0</v>
      </c>
      <c r="U209" s="212"/>
      <c r="V209" s="212">
        <v>0</v>
      </c>
      <c r="W209" s="212">
        <v>0</v>
      </c>
      <c r="X209" s="212">
        <v>0</v>
      </c>
      <c r="Y209" s="212"/>
      <c r="Z209" s="212"/>
      <c r="AA209" s="212"/>
      <c r="AB209" s="212"/>
      <c r="AC209" s="212"/>
      <c r="AD209" s="212"/>
      <c r="AE209" s="212"/>
      <c r="AF209" s="212"/>
      <c r="AG209" s="212"/>
      <c r="AH209" s="212"/>
      <c r="AI209" s="212"/>
      <c r="AJ209" s="212"/>
      <c r="AK209" s="212"/>
      <c r="AL209" s="212"/>
      <c r="AM209" s="212"/>
      <c r="AN209" s="229">
        <f t="shared" si="30"/>
        <v>0</v>
      </c>
      <c r="AP209" s="37">
        <f t="shared" si="32"/>
        <v>0</v>
      </c>
      <c r="AQ209" s="37">
        <f t="shared" si="32"/>
        <v>0</v>
      </c>
      <c r="AR209" s="37">
        <f t="shared" si="32"/>
        <v>0</v>
      </c>
      <c r="AS209" s="37">
        <f t="shared" si="32"/>
        <v>0</v>
      </c>
      <c r="AT209" s="37">
        <f t="shared" si="32"/>
        <v>0</v>
      </c>
      <c r="AU209" s="37">
        <f t="shared" si="32"/>
        <v>0</v>
      </c>
      <c r="AV209" s="37">
        <f t="shared" si="32"/>
        <v>0</v>
      </c>
      <c r="AW209" s="37">
        <f t="shared" si="32"/>
        <v>0</v>
      </c>
      <c r="AX209" s="37">
        <f t="shared" si="32"/>
        <v>0</v>
      </c>
      <c r="AY209" s="64">
        <f t="shared" si="31"/>
        <v>0</v>
      </c>
    </row>
    <row r="210" spans="1:51">
      <c r="A210" s="231">
        <v>2306</v>
      </c>
      <c r="B210" s="4">
        <v>103326</v>
      </c>
      <c r="C210" s="4" t="s">
        <v>556</v>
      </c>
      <c r="D210" s="4" t="s">
        <v>557</v>
      </c>
      <c r="E210" s="4" t="s">
        <v>5</v>
      </c>
      <c r="F210" s="232" t="s">
        <v>415</v>
      </c>
      <c r="H210" s="211">
        <v>7396</v>
      </c>
      <c r="I210" s="212">
        <v>0</v>
      </c>
      <c r="J210" s="212">
        <v>9755</v>
      </c>
      <c r="K210" s="211">
        <v>1968.75</v>
      </c>
      <c r="L210" s="211">
        <v>0</v>
      </c>
      <c r="M210" s="212">
        <v>8037</v>
      </c>
      <c r="N210" s="244">
        <v>0</v>
      </c>
      <c r="O210" s="212">
        <v>0</v>
      </c>
      <c r="P210" s="212">
        <v>0</v>
      </c>
      <c r="Q210" s="212">
        <v>15503</v>
      </c>
      <c r="R210" s="212">
        <v>28490</v>
      </c>
      <c r="S210" s="212">
        <v>2791.25</v>
      </c>
      <c r="T210" s="212">
        <v>200</v>
      </c>
      <c r="U210" s="212"/>
      <c r="V210" s="212">
        <v>0</v>
      </c>
      <c r="W210" s="212">
        <v>0</v>
      </c>
      <c r="X210" s="212">
        <v>17386</v>
      </c>
      <c r="Y210" s="212"/>
      <c r="Z210" s="212"/>
      <c r="AA210" s="212"/>
      <c r="AB210" s="212"/>
      <c r="AC210" s="212"/>
      <c r="AD210" s="212"/>
      <c r="AE210" s="212"/>
      <c r="AF210" s="212"/>
      <c r="AG210" s="212"/>
      <c r="AH210" s="212"/>
      <c r="AI210" s="212"/>
      <c r="AJ210" s="212"/>
      <c r="AK210" s="212"/>
      <c r="AL210" s="212"/>
      <c r="AM210" s="212"/>
      <c r="AN210" s="229">
        <f t="shared" si="30"/>
        <v>91527</v>
      </c>
      <c r="AP210" s="37">
        <f t="shared" si="32"/>
        <v>17792</v>
      </c>
      <c r="AQ210" s="37">
        <f t="shared" si="32"/>
        <v>0</v>
      </c>
      <c r="AR210" s="37">
        <f t="shared" si="32"/>
        <v>28490</v>
      </c>
      <c r="AS210" s="37">
        <f t="shared" si="32"/>
        <v>200</v>
      </c>
      <c r="AT210" s="37">
        <f t="shared" si="32"/>
        <v>0</v>
      </c>
      <c r="AU210" s="37">
        <f t="shared" si="32"/>
        <v>0</v>
      </c>
      <c r="AV210" s="37">
        <f t="shared" si="32"/>
        <v>4760</v>
      </c>
      <c r="AW210" s="37">
        <f t="shared" si="32"/>
        <v>40285</v>
      </c>
      <c r="AX210" s="37">
        <f t="shared" si="32"/>
        <v>0</v>
      </c>
      <c r="AY210" s="64">
        <f t="shared" si="31"/>
        <v>0</v>
      </c>
    </row>
    <row r="211" spans="1:51">
      <c r="A211" s="231">
        <v>2482</v>
      </c>
      <c r="B211" s="4">
        <v>132201</v>
      </c>
      <c r="C211" s="4" t="s">
        <v>559</v>
      </c>
      <c r="D211" s="4" t="s">
        <v>560</v>
      </c>
      <c r="E211" s="4" t="s">
        <v>5</v>
      </c>
      <c r="F211" s="232" t="s">
        <v>415</v>
      </c>
      <c r="H211" s="211">
        <v>8133</v>
      </c>
      <c r="I211" s="212">
        <v>0</v>
      </c>
      <c r="J211" s="212">
        <v>19210</v>
      </c>
      <c r="K211" s="211">
        <v>5118.75</v>
      </c>
      <c r="L211" s="211">
        <v>0</v>
      </c>
      <c r="M211" s="212">
        <v>15815</v>
      </c>
      <c r="N211" s="244">
        <v>0</v>
      </c>
      <c r="O211" s="212">
        <v>0</v>
      </c>
      <c r="P211" s="212">
        <v>0</v>
      </c>
      <c r="Q211" s="212">
        <v>15582</v>
      </c>
      <c r="R211" s="212">
        <v>76960</v>
      </c>
      <c r="S211" s="212">
        <v>8181</v>
      </c>
      <c r="T211" s="212">
        <v>0</v>
      </c>
      <c r="U211" s="212"/>
      <c r="V211" s="212">
        <v>0</v>
      </c>
      <c r="W211" s="212">
        <v>0</v>
      </c>
      <c r="X211" s="212">
        <v>23975</v>
      </c>
      <c r="Y211" s="212"/>
      <c r="Z211" s="212"/>
      <c r="AA211" s="212"/>
      <c r="AB211" s="212"/>
      <c r="AC211" s="212"/>
      <c r="AD211" s="212"/>
      <c r="AE211" s="212"/>
      <c r="AF211" s="212"/>
      <c r="AG211" s="212"/>
      <c r="AH211" s="212"/>
      <c r="AI211" s="212"/>
      <c r="AJ211" s="212"/>
      <c r="AK211" s="212"/>
      <c r="AL211" s="212"/>
      <c r="AM211" s="212"/>
      <c r="AN211" s="229">
        <f t="shared" si="30"/>
        <v>172974.75</v>
      </c>
      <c r="AP211" s="37">
        <f t="shared" si="32"/>
        <v>35025</v>
      </c>
      <c r="AQ211" s="37">
        <f t="shared" si="32"/>
        <v>0</v>
      </c>
      <c r="AR211" s="37">
        <f t="shared" si="32"/>
        <v>76960</v>
      </c>
      <c r="AS211" s="37">
        <f t="shared" si="32"/>
        <v>0</v>
      </c>
      <c r="AT211" s="37">
        <f t="shared" si="32"/>
        <v>0</v>
      </c>
      <c r="AU211" s="37">
        <f t="shared" si="32"/>
        <v>0</v>
      </c>
      <c r="AV211" s="37">
        <f t="shared" si="32"/>
        <v>13299.75</v>
      </c>
      <c r="AW211" s="37">
        <f t="shared" si="32"/>
        <v>47690</v>
      </c>
      <c r="AX211" s="37">
        <f t="shared" si="32"/>
        <v>0</v>
      </c>
      <c r="AY211" s="64">
        <f t="shared" si="31"/>
        <v>0</v>
      </c>
    </row>
    <row r="212" spans="1:51">
      <c r="A212" s="231">
        <v>2245</v>
      </c>
      <c r="B212" s="4">
        <v>103295</v>
      </c>
      <c r="C212" s="4" t="s">
        <v>562</v>
      </c>
      <c r="D212" s="4" t="s">
        <v>563</v>
      </c>
      <c r="E212" s="4" t="s">
        <v>5</v>
      </c>
      <c r="F212" s="232" t="s">
        <v>415</v>
      </c>
      <c r="H212" s="211">
        <v>7437</v>
      </c>
      <c r="I212" s="212">
        <v>0</v>
      </c>
      <c r="J212" s="212">
        <v>11484</v>
      </c>
      <c r="K212" s="211">
        <v>4131.25</v>
      </c>
      <c r="L212" s="211">
        <v>0</v>
      </c>
      <c r="M212" s="212">
        <v>9448</v>
      </c>
      <c r="N212" s="244">
        <v>0</v>
      </c>
      <c r="O212" s="212">
        <v>0</v>
      </c>
      <c r="P212" s="212">
        <v>0</v>
      </c>
      <c r="Q212" s="212">
        <v>7170</v>
      </c>
      <c r="R212" s="212">
        <v>50320</v>
      </c>
      <c r="S212" s="212">
        <v>4930</v>
      </c>
      <c r="T212" s="212">
        <v>0</v>
      </c>
      <c r="U212" s="212"/>
      <c r="V212" s="212">
        <v>0</v>
      </c>
      <c r="W212" s="212">
        <v>3598</v>
      </c>
      <c r="X212" s="212">
        <v>8273</v>
      </c>
      <c r="Y212" s="212"/>
      <c r="Z212" s="212"/>
      <c r="AA212" s="212"/>
      <c r="AB212" s="212"/>
      <c r="AC212" s="212"/>
      <c r="AD212" s="212"/>
      <c r="AE212" s="212"/>
      <c r="AF212" s="212"/>
      <c r="AG212" s="212"/>
      <c r="AH212" s="212"/>
      <c r="AI212" s="212"/>
      <c r="AJ212" s="212"/>
      <c r="AK212" s="212"/>
      <c r="AL212" s="212"/>
      <c r="AM212" s="212"/>
      <c r="AN212" s="229">
        <f t="shared" si="30"/>
        <v>106791.25</v>
      </c>
      <c r="AP212" s="37">
        <f t="shared" ref="AP212:AX217" si="33">SUMIF($H$3:$AM$3,AP$6,$H212:$AM212)</f>
        <v>24530</v>
      </c>
      <c r="AQ212" s="37">
        <f t="shared" si="33"/>
        <v>0</v>
      </c>
      <c r="AR212" s="37">
        <f t="shared" si="33"/>
        <v>50320</v>
      </c>
      <c r="AS212" s="37">
        <f t="shared" si="33"/>
        <v>0</v>
      </c>
      <c r="AT212" s="37">
        <f t="shared" si="33"/>
        <v>0</v>
      </c>
      <c r="AU212" s="37">
        <f t="shared" si="33"/>
        <v>0</v>
      </c>
      <c r="AV212" s="37">
        <f t="shared" si="33"/>
        <v>9061.25</v>
      </c>
      <c r="AW212" s="37">
        <f t="shared" si="33"/>
        <v>22880</v>
      </c>
      <c r="AX212" s="37">
        <f t="shared" si="33"/>
        <v>0</v>
      </c>
      <c r="AY212" s="64">
        <f t="shared" si="31"/>
        <v>0</v>
      </c>
    </row>
    <row r="213" spans="1:51">
      <c r="A213" s="231">
        <v>2445</v>
      </c>
      <c r="B213" s="4">
        <v>103372</v>
      </c>
      <c r="C213" s="4" t="s">
        <v>568</v>
      </c>
      <c r="D213" s="4" t="s">
        <v>569</v>
      </c>
      <c r="E213" s="4" t="s">
        <v>5</v>
      </c>
      <c r="F213" s="232" t="s">
        <v>415</v>
      </c>
      <c r="H213" s="211">
        <v>7387</v>
      </c>
      <c r="I213" s="212">
        <v>0</v>
      </c>
      <c r="J213" s="212">
        <v>11325</v>
      </c>
      <c r="K213" s="211">
        <v>3600</v>
      </c>
      <c r="L213" s="211">
        <v>0</v>
      </c>
      <c r="M213" s="212">
        <v>9315</v>
      </c>
      <c r="N213" s="244">
        <v>0</v>
      </c>
      <c r="O213" s="212">
        <v>0</v>
      </c>
      <c r="P213" s="212">
        <v>0</v>
      </c>
      <c r="Q213" s="212">
        <v>6990</v>
      </c>
      <c r="R213" s="212">
        <v>53280</v>
      </c>
      <c r="S213" s="212">
        <v>5220</v>
      </c>
      <c r="T213" s="212">
        <v>0</v>
      </c>
      <c r="U213" s="212"/>
      <c r="V213" s="212">
        <v>0</v>
      </c>
      <c r="W213" s="212">
        <v>0</v>
      </c>
      <c r="X213" s="212">
        <v>7432</v>
      </c>
      <c r="Y213" s="212"/>
      <c r="Z213" s="212"/>
      <c r="AA213" s="212"/>
      <c r="AB213" s="212"/>
      <c r="AC213" s="212"/>
      <c r="AD213" s="212"/>
      <c r="AE213" s="212"/>
      <c r="AF213" s="212"/>
      <c r="AG213" s="212"/>
      <c r="AH213" s="212"/>
      <c r="AI213" s="212"/>
      <c r="AJ213" s="212"/>
      <c r="AK213" s="212"/>
      <c r="AL213" s="212"/>
      <c r="AM213" s="212"/>
      <c r="AN213" s="229">
        <f t="shared" si="30"/>
        <v>104549</v>
      </c>
      <c r="AP213" s="37">
        <f t="shared" si="33"/>
        <v>20640</v>
      </c>
      <c r="AQ213" s="37">
        <f t="shared" si="33"/>
        <v>0</v>
      </c>
      <c r="AR213" s="37">
        <f t="shared" si="33"/>
        <v>53280</v>
      </c>
      <c r="AS213" s="37">
        <f t="shared" si="33"/>
        <v>0</v>
      </c>
      <c r="AT213" s="37">
        <f t="shared" si="33"/>
        <v>0</v>
      </c>
      <c r="AU213" s="37">
        <f t="shared" si="33"/>
        <v>0</v>
      </c>
      <c r="AV213" s="37">
        <f t="shared" si="33"/>
        <v>8820</v>
      </c>
      <c r="AW213" s="37">
        <f t="shared" si="33"/>
        <v>21809</v>
      </c>
      <c r="AX213" s="37">
        <f t="shared" si="33"/>
        <v>0</v>
      </c>
      <c r="AY213" s="64">
        <f t="shared" si="31"/>
        <v>0</v>
      </c>
    </row>
    <row r="214" spans="1:51">
      <c r="A214" s="231">
        <v>2278</v>
      </c>
      <c r="B214" s="4">
        <v>103310</v>
      </c>
      <c r="C214" s="4" t="s">
        <v>571</v>
      </c>
      <c r="D214" s="4" t="s">
        <v>572</v>
      </c>
      <c r="E214" s="4" t="s">
        <v>5</v>
      </c>
      <c r="F214" s="232" t="s">
        <v>415</v>
      </c>
      <c r="H214" s="211">
        <v>8100</v>
      </c>
      <c r="I214" s="212">
        <v>0</v>
      </c>
      <c r="J214" s="212">
        <v>20335</v>
      </c>
      <c r="K214" s="211">
        <v>5765.63</v>
      </c>
      <c r="L214" s="211">
        <v>0</v>
      </c>
      <c r="M214" s="212">
        <v>16735</v>
      </c>
      <c r="N214" s="244">
        <v>0</v>
      </c>
      <c r="O214" s="212">
        <v>0</v>
      </c>
      <c r="P214" s="212">
        <v>0</v>
      </c>
      <c r="Q214" s="212">
        <v>9574</v>
      </c>
      <c r="R214" s="212">
        <v>89715</v>
      </c>
      <c r="S214" s="212">
        <v>8736.25</v>
      </c>
      <c r="T214" s="212">
        <v>400</v>
      </c>
      <c r="U214" s="212"/>
      <c r="V214" s="212">
        <v>0</v>
      </c>
      <c r="W214" s="212">
        <v>0</v>
      </c>
      <c r="X214" s="212">
        <v>16545</v>
      </c>
      <c r="Y214" s="212"/>
      <c r="Z214" s="212"/>
      <c r="AA214" s="212"/>
      <c r="AB214" s="212"/>
      <c r="AC214" s="212"/>
      <c r="AD214" s="212"/>
      <c r="AE214" s="212"/>
      <c r="AF214" s="212"/>
      <c r="AG214" s="212"/>
      <c r="AH214" s="212"/>
      <c r="AI214" s="212"/>
      <c r="AJ214" s="212"/>
      <c r="AK214" s="212"/>
      <c r="AL214" s="212"/>
      <c r="AM214" s="212"/>
      <c r="AN214" s="229">
        <f t="shared" si="30"/>
        <v>175905.88</v>
      </c>
      <c r="AP214" s="37">
        <f t="shared" si="33"/>
        <v>37070</v>
      </c>
      <c r="AQ214" s="37">
        <f t="shared" si="33"/>
        <v>0</v>
      </c>
      <c r="AR214" s="37">
        <f t="shared" si="33"/>
        <v>89715</v>
      </c>
      <c r="AS214" s="37">
        <f t="shared" si="33"/>
        <v>400</v>
      </c>
      <c r="AT214" s="37">
        <f t="shared" si="33"/>
        <v>0</v>
      </c>
      <c r="AU214" s="37">
        <f t="shared" si="33"/>
        <v>0</v>
      </c>
      <c r="AV214" s="37">
        <f t="shared" si="33"/>
        <v>14501.880000000001</v>
      </c>
      <c r="AW214" s="37">
        <f t="shared" si="33"/>
        <v>34219</v>
      </c>
      <c r="AX214" s="37">
        <f t="shared" si="33"/>
        <v>0</v>
      </c>
      <c r="AY214" s="64">
        <f t="shared" si="31"/>
        <v>0</v>
      </c>
    </row>
    <row r="215" spans="1:51">
      <c r="A215" s="231">
        <v>2317</v>
      </c>
      <c r="B215" s="4">
        <v>103337</v>
      </c>
      <c r="C215" s="4" t="s">
        <v>574</v>
      </c>
      <c r="D215" s="4" t="s">
        <v>575</v>
      </c>
      <c r="E215" s="4" t="s">
        <v>5</v>
      </c>
      <c r="F215" s="232" t="s">
        <v>415</v>
      </c>
      <c r="H215" s="211">
        <v>7408</v>
      </c>
      <c r="I215" s="212">
        <v>0</v>
      </c>
      <c r="J215" s="212">
        <v>11613</v>
      </c>
      <c r="K215" s="211">
        <v>2267.19</v>
      </c>
      <c r="L215" s="211">
        <v>0</v>
      </c>
      <c r="M215" s="212">
        <v>9570</v>
      </c>
      <c r="N215" s="244">
        <v>0</v>
      </c>
      <c r="O215" s="212">
        <v>0</v>
      </c>
      <c r="P215" s="212">
        <v>0</v>
      </c>
      <c r="Q215" s="212">
        <v>27680</v>
      </c>
      <c r="R215" s="212">
        <v>34585</v>
      </c>
      <c r="S215" s="212">
        <v>3335</v>
      </c>
      <c r="T215" s="212">
        <v>0</v>
      </c>
      <c r="U215" s="212"/>
      <c r="V215" s="212">
        <v>0</v>
      </c>
      <c r="W215" s="212">
        <v>0</v>
      </c>
      <c r="X215" s="212">
        <v>39538</v>
      </c>
      <c r="Y215" s="212"/>
      <c r="Z215" s="212"/>
      <c r="AA215" s="212"/>
      <c r="AB215" s="212"/>
      <c r="AC215" s="212"/>
      <c r="AD215" s="212"/>
      <c r="AE215" s="212"/>
      <c r="AF215" s="212"/>
      <c r="AG215" s="212"/>
      <c r="AH215" s="212"/>
      <c r="AI215" s="212"/>
      <c r="AJ215" s="212"/>
      <c r="AK215" s="212"/>
      <c r="AL215" s="212"/>
      <c r="AM215" s="212"/>
      <c r="AN215" s="229">
        <f t="shared" si="30"/>
        <v>135996.19</v>
      </c>
      <c r="AP215" s="37">
        <f t="shared" si="33"/>
        <v>21183</v>
      </c>
      <c r="AQ215" s="37">
        <f t="shared" si="33"/>
        <v>0</v>
      </c>
      <c r="AR215" s="37">
        <f t="shared" si="33"/>
        <v>34585</v>
      </c>
      <c r="AS215" s="37">
        <f t="shared" si="33"/>
        <v>0</v>
      </c>
      <c r="AT215" s="37">
        <f t="shared" si="33"/>
        <v>0</v>
      </c>
      <c r="AU215" s="37">
        <f t="shared" si="33"/>
        <v>0</v>
      </c>
      <c r="AV215" s="37">
        <f t="shared" si="33"/>
        <v>5602.1900000000005</v>
      </c>
      <c r="AW215" s="37">
        <f t="shared" si="33"/>
        <v>74626</v>
      </c>
      <c r="AX215" s="37">
        <f t="shared" si="33"/>
        <v>0</v>
      </c>
      <c r="AY215" s="64">
        <f t="shared" si="31"/>
        <v>0</v>
      </c>
    </row>
    <row r="216" spans="1:51">
      <c r="A216" s="231">
        <v>3421</v>
      </c>
      <c r="B216" s="4">
        <v>133996</v>
      </c>
      <c r="C216" s="4" t="s">
        <v>577</v>
      </c>
      <c r="D216" s="4" t="s">
        <v>578</v>
      </c>
      <c r="E216" s="4" t="s">
        <v>5</v>
      </c>
      <c r="F216" s="232" t="s">
        <v>415</v>
      </c>
      <c r="H216" s="211">
        <v>9662</v>
      </c>
      <c r="I216" s="212">
        <v>0</v>
      </c>
      <c r="J216" s="212">
        <v>34921</v>
      </c>
      <c r="K216" s="211">
        <v>7340.63</v>
      </c>
      <c r="L216" s="211">
        <v>0</v>
      </c>
      <c r="M216" s="212">
        <v>28780</v>
      </c>
      <c r="N216" s="244">
        <v>0</v>
      </c>
      <c r="O216" s="212">
        <v>0</v>
      </c>
      <c r="P216" s="212">
        <v>0</v>
      </c>
      <c r="Q216" s="212">
        <v>42982</v>
      </c>
      <c r="R216" s="212">
        <v>105352</v>
      </c>
      <c r="S216" s="212">
        <v>10295</v>
      </c>
      <c r="T216" s="212">
        <v>400</v>
      </c>
      <c r="U216" s="212"/>
      <c r="V216" s="212">
        <v>0</v>
      </c>
      <c r="W216" s="212">
        <v>0</v>
      </c>
      <c r="X216" s="212">
        <v>57624</v>
      </c>
      <c r="Y216" s="212"/>
      <c r="Z216" s="212"/>
      <c r="AA216" s="212"/>
      <c r="AB216" s="212"/>
      <c r="AC216" s="212"/>
      <c r="AD216" s="212"/>
      <c r="AE216" s="212"/>
      <c r="AF216" s="212"/>
      <c r="AG216" s="212"/>
      <c r="AH216" s="212"/>
      <c r="AI216" s="212"/>
      <c r="AJ216" s="212"/>
      <c r="AK216" s="212"/>
      <c r="AL216" s="212"/>
      <c r="AM216" s="212"/>
      <c r="AN216" s="229">
        <f t="shared" si="30"/>
        <v>297356.63</v>
      </c>
      <c r="AP216" s="37">
        <f t="shared" si="33"/>
        <v>63701</v>
      </c>
      <c r="AQ216" s="37">
        <f t="shared" si="33"/>
        <v>0</v>
      </c>
      <c r="AR216" s="37">
        <f t="shared" si="33"/>
        <v>105352</v>
      </c>
      <c r="AS216" s="37">
        <f t="shared" si="33"/>
        <v>400</v>
      </c>
      <c r="AT216" s="37">
        <f t="shared" si="33"/>
        <v>0</v>
      </c>
      <c r="AU216" s="37">
        <f t="shared" si="33"/>
        <v>0</v>
      </c>
      <c r="AV216" s="37">
        <f t="shared" si="33"/>
        <v>17635.63</v>
      </c>
      <c r="AW216" s="37">
        <f t="shared" si="33"/>
        <v>110268</v>
      </c>
      <c r="AX216" s="37">
        <f t="shared" si="33"/>
        <v>0</v>
      </c>
      <c r="AY216" s="64">
        <f t="shared" si="31"/>
        <v>0</v>
      </c>
    </row>
    <row r="217" spans="1:51">
      <c r="A217" s="231">
        <v>2184</v>
      </c>
      <c r="B217" s="4">
        <v>103262</v>
      </c>
      <c r="C217" s="4" t="s">
        <v>824</v>
      </c>
      <c r="D217" s="4" t="s">
        <v>825</v>
      </c>
      <c r="E217" s="4" t="s">
        <v>5</v>
      </c>
      <c r="F217" s="232" t="s">
        <v>415</v>
      </c>
      <c r="H217" s="211">
        <v>8158</v>
      </c>
      <c r="I217" s="212">
        <v>0</v>
      </c>
      <c r="J217" s="212">
        <v>17918</v>
      </c>
      <c r="K217" s="211">
        <v>3600</v>
      </c>
      <c r="L217" s="211">
        <v>0</v>
      </c>
      <c r="M217" s="212">
        <v>14766</v>
      </c>
      <c r="N217" s="244">
        <v>0</v>
      </c>
      <c r="O217" s="212">
        <v>0</v>
      </c>
      <c r="P217" s="212">
        <v>0</v>
      </c>
      <c r="Q217" s="212">
        <v>18246</v>
      </c>
      <c r="R217" s="212">
        <v>52540</v>
      </c>
      <c r="S217" s="212">
        <v>5147.5</v>
      </c>
      <c r="T217" s="212">
        <v>400</v>
      </c>
      <c r="U217" s="212"/>
      <c r="V217" s="212">
        <v>0</v>
      </c>
      <c r="W217" s="212">
        <v>3598</v>
      </c>
      <c r="X217" s="212">
        <v>31827</v>
      </c>
      <c r="Y217" s="212"/>
      <c r="Z217" s="212"/>
      <c r="AA217" s="212"/>
      <c r="AB217" s="212"/>
      <c r="AC217" s="212"/>
      <c r="AD217" s="212"/>
      <c r="AE217" s="212"/>
      <c r="AF217" s="212"/>
      <c r="AG217" s="212"/>
      <c r="AH217" s="212"/>
      <c r="AI217" s="212"/>
      <c r="AJ217" s="212"/>
      <c r="AK217" s="212"/>
      <c r="AL217" s="212"/>
      <c r="AM217" s="212"/>
      <c r="AN217" s="229">
        <f t="shared" si="30"/>
        <v>156200.5</v>
      </c>
      <c r="AP217" s="37">
        <f t="shared" si="33"/>
        <v>36282</v>
      </c>
      <c r="AQ217" s="37">
        <f t="shared" si="33"/>
        <v>0</v>
      </c>
      <c r="AR217" s="37">
        <f t="shared" si="33"/>
        <v>52540</v>
      </c>
      <c r="AS217" s="37">
        <f t="shared" si="33"/>
        <v>400</v>
      </c>
      <c r="AT217" s="37">
        <f t="shared" si="33"/>
        <v>0</v>
      </c>
      <c r="AU217" s="37">
        <f t="shared" si="33"/>
        <v>0</v>
      </c>
      <c r="AV217" s="37">
        <f t="shared" si="33"/>
        <v>8747.5</v>
      </c>
      <c r="AW217" s="37">
        <f t="shared" si="33"/>
        <v>58231</v>
      </c>
      <c r="AX217" s="37">
        <f t="shared" si="33"/>
        <v>0</v>
      </c>
      <c r="AY217" s="64">
        <f t="shared" si="31"/>
        <v>0</v>
      </c>
    </row>
    <row r="218" spans="1:51" s="224" customFormat="1" ht="15" thickBot="1">
      <c r="A218" s="235"/>
      <c r="B218" s="220"/>
      <c r="C218" s="220"/>
      <c r="D218" s="227" t="s">
        <v>1095</v>
      </c>
      <c r="E218" s="220"/>
      <c r="F218" s="236"/>
      <c r="G218"/>
      <c r="H218" s="255">
        <f>SUM(H72:H217)</f>
        <v>929820</v>
      </c>
      <c r="I218" s="255">
        <f t="shared" ref="I218:AN218" si="34">SUM(I72:I217)</f>
        <v>1077256.28</v>
      </c>
      <c r="J218" s="255">
        <f t="shared" si="34"/>
        <v>1787999</v>
      </c>
      <c r="K218" s="255">
        <f t="shared" si="34"/>
        <v>488523.68000000023</v>
      </c>
      <c r="L218" s="255">
        <f t="shared" si="34"/>
        <v>1200</v>
      </c>
      <c r="M218" s="255">
        <f t="shared" si="34"/>
        <v>1471962</v>
      </c>
      <c r="N218" s="255">
        <f>SUM(N72:N217)</f>
        <v>3600</v>
      </c>
      <c r="O218" s="255">
        <f t="shared" si="34"/>
        <v>0</v>
      </c>
      <c r="P218" s="255">
        <f t="shared" si="34"/>
        <v>0</v>
      </c>
      <c r="Q218" s="255">
        <f t="shared" si="34"/>
        <v>1902097</v>
      </c>
      <c r="R218" s="255">
        <f t="shared" si="34"/>
        <v>6116175</v>
      </c>
      <c r="S218" s="255">
        <f t="shared" si="34"/>
        <v>747794</v>
      </c>
      <c r="T218" s="255">
        <f t="shared" si="34"/>
        <v>27200</v>
      </c>
      <c r="U218" s="255">
        <f t="shared" si="34"/>
        <v>0</v>
      </c>
      <c r="V218" s="255">
        <f t="shared" si="34"/>
        <v>807489.53</v>
      </c>
      <c r="W218" s="255">
        <f t="shared" si="34"/>
        <v>93548</v>
      </c>
      <c r="X218" s="255">
        <f t="shared" si="34"/>
        <v>2705460</v>
      </c>
      <c r="Y218" s="255">
        <f t="shared" si="34"/>
        <v>0</v>
      </c>
      <c r="Z218" s="255">
        <f t="shared" si="34"/>
        <v>0</v>
      </c>
      <c r="AA218" s="255">
        <f t="shared" si="34"/>
        <v>0</v>
      </c>
      <c r="AB218" s="255">
        <f t="shared" si="34"/>
        <v>0</v>
      </c>
      <c r="AC218" s="255">
        <f t="shared" si="34"/>
        <v>0</v>
      </c>
      <c r="AD218" s="255">
        <f t="shared" si="34"/>
        <v>0</v>
      </c>
      <c r="AE218" s="255">
        <f t="shared" si="34"/>
        <v>0</v>
      </c>
      <c r="AF218" s="255">
        <f t="shared" si="34"/>
        <v>0</v>
      </c>
      <c r="AG218" s="255">
        <f t="shared" si="34"/>
        <v>0</v>
      </c>
      <c r="AH218" s="255">
        <f t="shared" si="34"/>
        <v>0</v>
      </c>
      <c r="AI218" s="255">
        <f t="shared" si="34"/>
        <v>0</v>
      </c>
      <c r="AJ218" s="255">
        <f t="shared" si="34"/>
        <v>0</v>
      </c>
      <c r="AK218" s="255">
        <f t="shared" si="34"/>
        <v>0</v>
      </c>
      <c r="AL218" s="255">
        <f t="shared" si="34"/>
        <v>0</v>
      </c>
      <c r="AM218" s="255">
        <f t="shared" si="34"/>
        <v>0</v>
      </c>
      <c r="AN218" s="255">
        <f t="shared" si="34"/>
        <v>18160124.490000013</v>
      </c>
      <c r="AP218" s="256">
        <f>SUM(AP72:AP217)</f>
        <v>5238254.8100000015</v>
      </c>
      <c r="AQ218" s="256">
        <f t="shared" ref="AQ218:AY218" si="35">SUM(AQ72:AQ217)</f>
        <v>0</v>
      </c>
      <c r="AR218" s="256">
        <f t="shared" si="35"/>
        <v>6116175</v>
      </c>
      <c r="AS218" s="256">
        <f t="shared" si="35"/>
        <v>32000</v>
      </c>
      <c r="AT218" s="256">
        <f t="shared" si="35"/>
        <v>0</v>
      </c>
      <c r="AU218" s="256">
        <f t="shared" si="35"/>
        <v>0</v>
      </c>
      <c r="AV218" s="256">
        <f t="shared" si="35"/>
        <v>1236317.6799999992</v>
      </c>
      <c r="AW218" s="256">
        <f t="shared" si="35"/>
        <v>5537377</v>
      </c>
      <c r="AX218" s="256">
        <f t="shared" si="35"/>
        <v>0</v>
      </c>
      <c r="AY218" s="256">
        <f t="shared" si="35"/>
        <v>0</v>
      </c>
    </row>
    <row r="219" spans="1:51" ht="15" thickTop="1">
      <c r="A219" s="231"/>
      <c r="B219" s="4"/>
      <c r="C219" s="4"/>
      <c r="D219" s="4"/>
      <c r="E219" s="4"/>
      <c r="F219" s="232"/>
      <c r="H219" s="254"/>
      <c r="I219" s="254"/>
      <c r="J219" s="254"/>
      <c r="K219" s="254"/>
      <c r="L219" s="254"/>
      <c r="M219" s="254"/>
      <c r="N219" s="254"/>
      <c r="O219" s="254"/>
      <c r="P219" s="254"/>
      <c r="Q219" s="254"/>
      <c r="R219" s="254"/>
      <c r="S219" s="254"/>
      <c r="T219" s="254"/>
      <c r="U219" s="254"/>
      <c r="V219" s="254"/>
      <c r="W219" s="254"/>
      <c r="X219" s="254"/>
      <c r="Y219" s="254"/>
      <c r="Z219" s="254"/>
      <c r="AA219" s="254"/>
      <c r="AB219" s="254"/>
      <c r="AC219" s="254"/>
      <c r="AD219" s="254"/>
      <c r="AE219" s="254"/>
      <c r="AF219" s="254"/>
      <c r="AG219" s="254"/>
      <c r="AH219" s="254"/>
      <c r="AI219" s="254"/>
      <c r="AJ219" s="254"/>
      <c r="AK219" s="254"/>
      <c r="AL219" s="254"/>
      <c r="AM219" s="254"/>
      <c r="AN219" s="254"/>
      <c r="AY219" s="64"/>
    </row>
    <row r="220" spans="1:51" ht="15" thickBot="1">
      <c r="A220" s="237"/>
      <c r="B220" s="238"/>
      <c r="C220" s="238"/>
      <c r="D220" s="239"/>
      <c r="E220" s="239"/>
      <c r="F220" s="240"/>
      <c r="G220" s="72" t="s">
        <v>48</v>
      </c>
      <c r="H220" s="251">
        <f>H70+H218</f>
        <v>1278508</v>
      </c>
      <c r="I220" s="251">
        <f t="shared" ref="I220:AN220" si="36">I70+I218</f>
        <v>1895516.44</v>
      </c>
      <c r="J220" s="251">
        <f t="shared" si="36"/>
        <v>3335450</v>
      </c>
      <c r="K220" s="251">
        <f t="shared" si="36"/>
        <v>836350.37000000034</v>
      </c>
      <c r="L220" s="251">
        <f t="shared" si="36"/>
        <v>2400</v>
      </c>
      <c r="M220" s="251">
        <f t="shared" si="36"/>
        <v>2728995</v>
      </c>
      <c r="N220" s="251">
        <f t="shared" si="36"/>
        <v>4800</v>
      </c>
      <c r="O220" s="251">
        <f t="shared" si="36"/>
        <v>94608</v>
      </c>
      <c r="P220" s="251">
        <f t="shared" si="36"/>
        <v>3600</v>
      </c>
      <c r="Q220" s="251">
        <f t="shared" si="36"/>
        <v>2728170</v>
      </c>
      <c r="R220" s="251">
        <f t="shared" si="36"/>
        <v>9812238</v>
      </c>
      <c r="S220" s="251">
        <f t="shared" si="36"/>
        <v>1483124.25</v>
      </c>
      <c r="T220" s="251">
        <f t="shared" si="36"/>
        <v>42600</v>
      </c>
      <c r="U220" s="251">
        <f t="shared" si="36"/>
        <v>203003</v>
      </c>
      <c r="V220" s="251">
        <f t="shared" si="36"/>
        <v>1420840.83</v>
      </c>
      <c r="W220" s="251">
        <f t="shared" si="36"/>
        <v>133126</v>
      </c>
      <c r="X220" s="251">
        <f t="shared" si="36"/>
        <v>3900868</v>
      </c>
      <c r="Y220" s="251">
        <f t="shared" si="36"/>
        <v>0</v>
      </c>
      <c r="Z220" s="251">
        <f t="shared" si="36"/>
        <v>0</v>
      </c>
      <c r="AA220" s="251">
        <f t="shared" si="36"/>
        <v>0</v>
      </c>
      <c r="AB220" s="251">
        <f t="shared" si="36"/>
        <v>0</v>
      </c>
      <c r="AC220" s="251">
        <f t="shared" si="36"/>
        <v>0</v>
      </c>
      <c r="AD220" s="251">
        <f t="shared" si="36"/>
        <v>0</v>
      </c>
      <c r="AE220" s="251">
        <f t="shared" si="36"/>
        <v>0</v>
      </c>
      <c r="AF220" s="251">
        <f t="shared" si="36"/>
        <v>0</v>
      </c>
      <c r="AG220" s="251">
        <f t="shared" si="36"/>
        <v>0</v>
      </c>
      <c r="AH220" s="251">
        <f t="shared" si="36"/>
        <v>0</v>
      </c>
      <c r="AI220" s="251">
        <f t="shared" si="36"/>
        <v>0</v>
      </c>
      <c r="AJ220" s="251">
        <f t="shared" si="36"/>
        <v>0</v>
      </c>
      <c r="AK220" s="251">
        <f t="shared" si="36"/>
        <v>0</v>
      </c>
      <c r="AL220" s="251">
        <f t="shared" si="36"/>
        <v>0</v>
      </c>
      <c r="AM220" s="251">
        <f t="shared" si="36"/>
        <v>0</v>
      </c>
      <c r="AN220" s="251">
        <f t="shared" si="36"/>
        <v>29904197.890000015</v>
      </c>
      <c r="AP220" s="208">
        <f>AP70+AP218</f>
        <v>9716931.2700000014</v>
      </c>
      <c r="AQ220" s="208">
        <f t="shared" ref="AQ220:AY220" si="37">AQ70+AQ218</f>
        <v>0</v>
      </c>
      <c r="AR220" s="208">
        <f t="shared" si="37"/>
        <v>9812238</v>
      </c>
      <c r="AS220" s="208">
        <f t="shared" si="37"/>
        <v>53400</v>
      </c>
      <c r="AT220" s="208">
        <f t="shared" si="37"/>
        <v>0</v>
      </c>
      <c r="AU220" s="208">
        <f t="shared" si="37"/>
        <v>0</v>
      </c>
      <c r="AV220" s="208">
        <f t="shared" si="37"/>
        <v>2414082.6199999992</v>
      </c>
      <c r="AW220" s="208">
        <f t="shared" si="37"/>
        <v>7907546</v>
      </c>
      <c r="AX220" s="208">
        <f t="shared" si="37"/>
        <v>0</v>
      </c>
      <c r="AY220" s="208">
        <f t="shared" si="37"/>
        <v>0</v>
      </c>
    </row>
    <row r="221" spans="1:51">
      <c r="AY221" s="37"/>
    </row>
    <row r="222" spans="1:51">
      <c r="AY222" s="37"/>
    </row>
    <row r="223" spans="1:51">
      <c r="AY223" s="37"/>
    </row>
    <row r="224" spans="1:51">
      <c r="AY224" s="37"/>
    </row>
    <row r="225" spans="51:51">
      <c r="AY225" s="37"/>
    </row>
    <row r="226" spans="51:51">
      <c r="AY226" s="37"/>
    </row>
    <row r="227" spans="51:51">
      <c r="AY227" s="37"/>
    </row>
    <row r="228" spans="51:51">
      <c r="AY228" s="37"/>
    </row>
  </sheetData>
  <conditionalFormatting sqref="A6:I6 R6:Z6 A7:H7 H8:H218 I70:AN70 I218:AN218">
    <cfRule type="cellIs" dxfId="15" priority="3" operator="lessThan">
      <formula>0</formula>
    </cfRule>
  </conditionalFormatting>
  <conditionalFormatting sqref="N6">
    <cfRule type="cellIs" dxfId="14" priority="1" operator="lessThan">
      <formula>0</formula>
    </cfRule>
  </conditionalFormatting>
  <conditionalFormatting sqref="AN6:AN69 AN71:AN217">
    <cfRule type="cellIs" dxfId="13" priority="2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720FD-B264-4603-8A3F-AC523F45178E}">
  <dimension ref="A1:FE230"/>
  <sheetViews>
    <sheetView zoomScale="80" zoomScaleNormal="80" workbookViewId="0">
      <selection activeCell="AA71" sqref="AA71"/>
    </sheetView>
  </sheetViews>
  <sheetFormatPr defaultRowHeight="14.5"/>
  <cols>
    <col min="1" max="1" width="6.54296875" customWidth="1"/>
    <col min="2" max="2" width="7.7265625" bestFit="1" customWidth="1"/>
    <col min="3" max="3" width="11" bestFit="1" customWidth="1"/>
    <col min="4" max="4" width="66.26953125" customWidth="1"/>
    <col min="5" max="5" width="17.453125" bestFit="1" customWidth="1"/>
    <col min="6" max="6" width="14.7265625" customWidth="1"/>
    <col min="7" max="7" width="14.26953125" bestFit="1" customWidth="1"/>
    <col min="8" max="19" width="17.26953125" customWidth="1"/>
    <col min="20" max="20" width="3.453125" bestFit="1" customWidth="1"/>
    <col min="21" max="21" width="16.26953125" bestFit="1" customWidth="1"/>
    <col min="22" max="22" width="17" bestFit="1" customWidth="1"/>
    <col min="23" max="24" width="16.26953125" bestFit="1" customWidth="1"/>
    <col min="25" max="25" width="16.453125" bestFit="1" customWidth="1"/>
    <col min="26" max="27" width="16.26953125" bestFit="1" customWidth="1"/>
    <col min="28" max="28" width="16.54296875" bestFit="1" customWidth="1"/>
    <col min="29" max="29" width="16.453125" bestFit="1" customWidth="1"/>
    <col min="30" max="31" width="16.26953125" bestFit="1" customWidth="1"/>
    <col min="32" max="32" width="16.54296875" bestFit="1" customWidth="1"/>
    <col min="33" max="50" width="17.26953125" customWidth="1"/>
    <col min="51" max="53" width="14.7265625" customWidth="1"/>
  </cols>
  <sheetData>
    <row r="1" spans="1:161">
      <c r="A1" s="1" t="s">
        <v>1105</v>
      </c>
      <c r="B1" s="1"/>
    </row>
    <row r="2" spans="1:161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  <c r="AC2">
        <v>29</v>
      </c>
      <c r="AD2">
        <v>30</v>
      </c>
      <c r="AE2">
        <v>31</v>
      </c>
      <c r="AF2">
        <v>32</v>
      </c>
      <c r="AG2">
        <v>33</v>
      </c>
      <c r="AH2">
        <v>34</v>
      </c>
      <c r="AI2">
        <v>35</v>
      </c>
      <c r="AJ2">
        <v>36</v>
      </c>
      <c r="AK2">
        <v>37</v>
      </c>
      <c r="AL2">
        <v>38</v>
      </c>
      <c r="AM2">
        <v>39</v>
      </c>
      <c r="AN2">
        <v>40</v>
      </c>
      <c r="AO2">
        <v>41</v>
      </c>
      <c r="AP2">
        <v>42</v>
      </c>
      <c r="AQ2">
        <v>43</v>
      </c>
      <c r="AR2">
        <v>44</v>
      </c>
      <c r="AS2">
        <v>45</v>
      </c>
      <c r="AT2">
        <v>46</v>
      </c>
      <c r="AU2">
        <v>47</v>
      </c>
      <c r="AV2">
        <v>48</v>
      </c>
      <c r="AW2">
        <v>49</v>
      </c>
      <c r="AX2">
        <v>50</v>
      </c>
      <c r="AY2">
        <v>51</v>
      </c>
      <c r="AZ2">
        <v>52</v>
      </c>
      <c r="BA2">
        <v>53</v>
      </c>
      <c r="BB2">
        <v>54</v>
      </c>
      <c r="BC2">
        <v>55</v>
      </c>
      <c r="BD2">
        <v>56</v>
      </c>
      <c r="BE2">
        <v>57</v>
      </c>
      <c r="BF2">
        <v>58</v>
      </c>
      <c r="BG2">
        <v>59</v>
      </c>
      <c r="BH2">
        <v>60</v>
      </c>
      <c r="BI2">
        <v>61</v>
      </c>
      <c r="BJ2">
        <v>62</v>
      </c>
      <c r="BK2">
        <v>63</v>
      </c>
      <c r="BL2">
        <v>64</v>
      </c>
      <c r="BM2">
        <v>65</v>
      </c>
      <c r="BN2">
        <v>66</v>
      </c>
      <c r="BO2">
        <v>67</v>
      </c>
      <c r="BP2">
        <v>68</v>
      </c>
      <c r="BQ2">
        <v>69</v>
      </c>
      <c r="BR2">
        <v>70</v>
      </c>
      <c r="BS2">
        <v>71</v>
      </c>
      <c r="BT2">
        <v>72</v>
      </c>
      <c r="BU2">
        <v>73</v>
      </c>
      <c r="BV2">
        <v>74</v>
      </c>
      <c r="BW2">
        <v>75</v>
      </c>
      <c r="BX2">
        <v>76</v>
      </c>
      <c r="BY2">
        <v>77</v>
      </c>
      <c r="BZ2">
        <v>78</v>
      </c>
      <c r="CA2">
        <v>79</v>
      </c>
      <c r="CB2">
        <v>80</v>
      </c>
      <c r="CC2">
        <v>81</v>
      </c>
      <c r="CD2">
        <v>82</v>
      </c>
      <c r="CE2">
        <v>83</v>
      </c>
      <c r="CF2">
        <v>84</v>
      </c>
      <c r="CG2">
        <v>85</v>
      </c>
      <c r="CH2">
        <v>86</v>
      </c>
      <c r="CI2">
        <v>87</v>
      </c>
      <c r="CJ2">
        <v>88</v>
      </c>
      <c r="CK2">
        <v>89</v>
      </c>
      <c r="CL2">
        <v>90</v>
      </c>
      <c r="CM2">
        <v>91</v>
      </c>
      <c r="CN2">
        <v>92</v>
      </c>
      <c r="CO2">
        <v>93</v>
      </c>
      <c r="CP2">
        <v>94</v>
      </c>
      <c r="CQ2">
        <v>95</v>
      </c>
      <c r="CR2">
        <v>96</v>
      </c>
      <c r="CS2">
        <v>97</v>
      </c>
      <c r="CT2">
        <v>98</v>
      </c>
      <c r="CU2">
        <v>99</v>
      </c>
      <c r="CV2">
        <v>100</v>
      </c>
      <c r="CW2">
        <v>101</v>
      </c>
      <c r="CX2">
        <v>102</v>
      </c>
      <c r="CY2">
        <v>103</v>
      </c>
      <c r="CZ2">
        <v>104</v>
      </c>
      <c r="DA2">
        <v>105</v>
      </c>
      <c r="DB2">
        <v>106</v>
      </c>
      <c r="DC2">
        <v>107</v>
      </c>
      <c r="DD2">
        <v>108</v>
      </c>
      <c r="DE2">
        <v>109</v>
      </c>
      <c r="DF2">
        <v>110</v>
      </c>
      <c r="DG2">
        <v>111</v>
      </c>
      <c r="DH2">
        <v>112</v>
      </c>
      <c r="DI2">
        <v>113</v>
      </c>
      <c r="DJ2">
        <v>114</v>
      </c>
      <c r="DK2">
        <v>115</v>
      </c>
      <c r="DL2">
        <v>116</v>
      </c>
      <c r="DM2">
        <v>117</v>
      </c>
      <c r="DN2">
        <v>118</v>
      </c>
      <c r="DO2">
        <v>119</v>
      </c>
      <c r="DP2">
        <v>120</v>
      </c>
      <c r="DQ2">
        <v>121</v>
      </c>
      <c r="DR2">
        <v>122</v>
      </c>
      <c r="DS2">
        <v>123</v>
      </c>
      <c r="DT2">
        <v>124</v>
      </c>
      <c r="DU2">
        <v>125</v>
      </c>
      <c r="DV2">
        <v>126</v>
      </c>
      <c r="DW2">
        <v>127</v>
      </c>
      <c r="DX2">
        <v>128</v>
      </c>
      <c r="DY2">
        <v>129</v>
      </c>
      <c r="DZ2">
        <v>130</v>
      </c>
      <c r="EA2">
        <v>131</v>
      </c>
      <c r="EB2">
        <v>132</v>
      </c>
      <c r="EC2">
        <v>133</v>
      </c>
      <c r="ED2">
        <v>134</v>
      </c>
      <c r="EE2">
        <v>135</v>
      </c>
      <c r="EF2">
        <v>136</v>
      </c>
      <c r="EG2">
        <v>137</v>
      </c>
      <c r="EH2">
        <v>138</v>
      </c>
      <c r="EI2">
        <v>139</v>
      </c>
      <c r="EJ2">
        <v>140</v>
      </c>
      <c r="EK2">
        <v>141</v>
      </c>
      <c r="EL2">
        <v>142</v>
      </c>
      <c r="EM2">
        <v>143</v>
      </c>
      <c r="EN2">
        <v>144</v>
      </c>
      <c r="EO2">
        <v>145</v>
      </c>
      <c r="EP2">
        <v>146</v>
      </c>
      <c r="EQ2">
        <v>147</v>
      </c>
      <c r="ER2">
        <v>148</v>
      </c>
      <c r="ES2">
        <v>149</v>
      </c>
      <c r="ET2">
        <v>150</v>
      </c>
      <c r="EU2">
        <v>151</v>
      </c>
      <c r="EV2">
        <v>152</v>
      </c>
      <c r="EW2">
        <v>153</v>
      </c>
      <c r="EX2">
        <v>154</v>
      </c>
      <c r="EY2">
        <v>155</v>
      </c>
      <c r="EZ2">
        <v>156</v>
      </c>
      <c r="FA2">
        <v>157</v>
      </c>
      <c r="FB2">
        <v>158</v>
      </c>
      <c r="FC2">
        <v>159</v>
      </c>
      <c r="FD2">
        <v>160</v>
      </c>
      <c r="FE2">
        <v>161</v>
      </c>
    </row>
    <row r="3" spans="1:161">
      <c r="D3" s="72"/>
      <c r="G3" s="72" t="s">
        <v>213</v>
      </c>
      <c r="H3" s="4"/>
      <c r="I3" s="4"/>
      <c r="J3" s="4" t="s">
        <v>109</v>
      </c>
      <c r="K3" s="4" t="s">
        <v>61</v>
      </c>
      <c r="L3" s="4" t="s">
        <v>62</v>
      </c>
      <c r="M3" s="4" t="s">
        <v>64</v>
      </c>
      <c r="N3" s="4" t="s">
        <v>64</v>
      </c>
      <c r="O3" s="4" t="s">
        <v>61</v>
      </c>
      <c r="P3" s="4" t="s">
        <v>127</v>
      </c>
      <c r="Q3" s="4" t="s">
        <v>1179</v>
      </c>
      <c r="R3" s="4" t="s">
        <v>1180</v>
      </c>
    </row>
    <row r="4" spans="1:161">
      <c r="D4" s="72"/>
      <c r="G4" s="72" t="s">
        <v>1103</v>
      </c>
      <c r="H4" s="4"/>
      <c r="I4" s="4"/>
      <c r="J4" s="4"/>
      <c r="K4" s="4"/>
      <c r="L4" s="4"/>
      <c r="M4" s="4"/>
      <c r="N4" s="4"/>
      <c r="O4" s="4"/>
      <c r="P4" s="285" t="s">
        <v>1143</v>
      </c>
      <c r="Q4" s="4"/>
      <c r="R4" s="4"/>
    </row>
    <row r="5" spans="1:161">
      <c r="D5" s="72"/>
      <c r="G5" s="72"/>
    </row>
    <row r="6" spans="1:161" ht="15" thickBot="1">
      <c r="K6" s="413" t="s">
        <v>1104</v>
      </c>
      <c r="L6" s="413"/>
      <c r="M6" s="413"/>
      <c r="N6" s="413"/>
      <c r="O6" s="413"/>
      <c r="P6" s="413"/>
      <c r="Q6" s="413"/>
      <c r="R6" s="413"/>
      <c r="S6" s="413"/>
      <c r="U6" t="s">
        <v>1190</v>
      </c>
      <c r="V6" t="s">
        <v>1190</v>
      </c>
      <c r="W6" t="s">
        <v>1190</v>
      </c>
      <c r="X6" t="s">
        <v>1190</v>
      </c>
      <c r="Y6" t="s">
        <v>1190</v>
      </c>
      <c r="Z6" t="s">
        <v>1190</v>
      </c>
    </row>
    <row r="7" spans="1:161" ht="58.5" thickBot="1">
      <c r="A7" s="196" t="s">
        <v>0</v>
      </c>
      <c r="B7" s="197" t="s">
        <v>7</v>
      </c>
      <c r="C7" s="198" t="s">
        <v>1</v>
      </c>
      <c r="D7" s="199" t="s">
        <v>2</v>
      </c>
      <c r="E7" s="198" t="s">
        <v>1091</v>
      </c>
      <c r="F7" s="199" t="s">
        <v>1092</v>
      </c>
      <c r="G7" s="241"/>
      <c r="H7" s="261" t="s">
        <v>186</v>
      </c>
      <c r="I7" s="262" t="s">
        <v>222</v>
      </c>
      <c r="J7" s="262" t="s">
        <v>75</v>
      </c>
      <c r="K7" s="262" t="s">
        <v>223</v>
      </c>
      <c r="L7" s="263" t="s">
        <v>1100</v>
      </c>
      <c r="M7" s="264" t="s">
        <v>49</v>
      </c>
      <c r="N7" s="264" t="s">
        <v>1098</v>
      </c>
      <c r="O7" s="265" t="s">
        <v>1128</v>
      </c>
      <c r="P7" s="266" t="s">
        <v>220</v>
      </c>
      <c r="Q7" s="266" t="s">
        <v>1119</v>
      </c>
      <c r="R7" s="267" t="s">
        <v>1099</v>
      </c>
      <c r="S7" s="268" t="s">
        <v>48</v>
      </c>
      <c r="T7" s="241"/>
      <c r="U7" s="246" t="s">
        <v>1115</v>
      </c>
      <c r="V7" s="200" t="s">
        <v>1116</v>
      </c>
      <c r="W7" s="200" t="s">
        <v>1117</v>
      </c>
      <c r="X7" s="200" t="s">
        <v>1118</v>
      </c>
      <c r="Y7" s="200" t="s">
        <v>1129</v>
      </c>
      <c r="Z7" s="200" t="s">
        <v>1130</v>
      </c>
      <c r="AA7" s="198" t="s">
        <v>1131</v>
      </c>
      <c r="AB7" s="198" t="s">
        <v>1132</v>
      </c>
      <c r="AC7" s="198" t="s">
        <v>1133</v>
      </c>
      <c r="AD7" s="198" t="s">
        <v>1134</v>
      </c>
      <c r="AE7" s="198" t="s">
        <v>1135</v>
      </c>
      <c r="AF7" s="198" t="s">
        <v>1136</v>
      </c>
      <c r="AG7" s="198" t="s">
        <v>48</v>
      </c>
      <c r="AH7" s="198"/>
      <c r="AI7" s="198"/>
      <c r="AJ7" s="198"/>
      <c r="AK7" s="198"/>
      <c r="AL7" s="198"/>
      <c r="AM7" s="198"/>
      <c r="AN7" s="198"/>
      <c r="AO7" s="198"/>
      <c r="AP7" s="199"/>
      <c r="AQ7" s="259"/>
      <c r="AR7" s="201"/>
      <c r="AS7" s="202"/>
      <c r="AT7" s="202"/>
      <c r="AU7" s="202"/>
      <c r="AV7" s="202"/>
      <c r="AW7" s="202"/>
      <c r="AX7" s="202"/>
      <c r="AY7" s="202"/>
      <c r="AZ7" s="203"/>
      <c r="BA7" s="204"/>
    </row>
    <row r="8" spans="1:161">
      <c r="A8" s="230">
        <v>1017</v>
      </c>
      <c r="B8" s="205">
        <v>103130</v>
      </c>
      <c r="C8" s="205" t="s">
        <v>232</v>
      </c>
      <c r="D8" s="205" t="s">
        <v>233</v>
      </c>
      <c r="E8" s="213" t="s">
        <v>180</v>
      </c>
      <c r="F8" s="247" t="s">
        <v>229</v>
      </c>
      <c r="G8" s="206"/>
      <c r="H8" s="270">
        <f>_xlfn.IFNA(VLOOKUP(A8,ISB!$A$4:$BY$454,67,FALSE),0)</f>
        <v>0</v>
      </c>
      <c r="I8" s="270">
        <f>_xlfn.IFNA(VLOOKUP(A8,ISB!$A$4:$BY$454,72,FALSE),0)</f>
        <v>0</v>
      </c>
      <c r="J8" s="271">
        <f>-_xlfn.IFNA(VLOOKUP(A8,ISB!$A$4:$BY$454,76,FALSE),0)</f>
        <v>0</v>
      </c>
      <c r="K8" s="271">
        <f>_xlfn.IFNA(VLOOKUP(A8,ISB!$A$4:$BY$454,77,FALSE),0)</f>
        <v>0</v>
      </c>
      <c r="L8" s="271">
        <f>_xlfn.IFNA(VLOOKUP(A8,'Post 16'!A:AC,13,FALSE),0)+_xlfn.IFNA(VLOOKUP(A8,'Post 16'!A:AC,17,FALSE),0)+(_xlfn.IFNA(VLOOKUP(A8,'Post 16'!A:AC,28,FALSE),0))</f>
        <v>0</v>
      </c>
      <c r="M8" s="271">
        <f>VLOOKUP(A8,HN!A:P,16,FALSE)</f>
        <v>0</v>
      </c>
      <c r="N8" s="271">
        <f>VLOOKUP(A8,HN!A:T,20,FALSE)</f>
        <v>74175</v>
      </c>
      <c r="O8" s="271">
        <f>VLOOKUP(A8,EY!A:O,15,FALSE)</f>
        <v>934712.38</v>
      </c>
      <c r="P8" s="271">
        <f>-VLOOKUP(A8,Adjustments!A:M,11,FALSE)</f>
        <v>-3291.75</v>
      </c>
      <c r="Q8" s="271">
        <v>-90884.07</v>
      </c>
      <c r="R8" s="271"/>
      <c r="S8" s="271">
        <f>SUM(K8:R8)</f>
        <v>914711.56</v>
      </c>
      <c r="T8" s="37"/>
      <c r="U8" s="37">
        <v>62854.43</v>
      </c>
      <c r="V8" s="37">
        <v>62854.43</v>
      </c>
      <c r="W8" s="37">
        <v>62854.43</v>
      </c>
      <c r="X8" s="37">
        <v>97166.47</v>
      </c>
      <c r="Y8" s="37">
        <v>78622.73</v>
      </c>
      <c r="Z8" s="37">
        <f>ROUND((($S8-SUM($U8:$Y8))/7),2)</f>
        <v>78622.720000000001</v>
      </c>
      <c r="AA8" s="37">
        <f t="shared" ref="AA8:AE23" si="0">ROUND((($S8-SUM($U8:$Y8))/7),2)</f>
        <v>78622.720000000001</v>
      </c>
      <c r="AB8" s="37">
        <f t="shared" si="0"/>
        <v>78622.720000000001</v>
      </c>
      <c r="AC8" s="37">
        <f t="shared" si="0"/>
        <v>78622.720000000001</v>
      </c>
      <c r="AD8" s="37">
        <f t="shared" si="0"/>
        <v>78622.720000000001</v>
      </c>
      <c r="AE8" s="37">
        <f t="shared" si="0"/>
        <v>78622.720000000001</v>
      </c>
      <c r="AF8" s="37">
        <f>ROUND((($S8-SUM($U8:$AE8))/1),2)</f>
        <v>78622.75</v>
      </c>
      <c r="AG8" s="37">
        <f>SUM(U8:AF8)</f>
        <v>914711.55999999982</v>
      </c>
      <c r="AH8" s="37" t="b">
        <f>IF(AG8=S8,TRUE,FALSE)</f>
        <v>1</v>
      </c>
      <c r="AI8" s="37"/>
      <c r="AJ8" s="37"/>
      <c r="AK8" s="206"/>
      <c r="AL8" s="37"/>
      <c r="AM8" s="37"/>
      <c r="AN8" s="206"/>
      <c r="AO8" s="206"/>
      <c r="AP8" s="207"/>
      <c r="AR8" s="37"/>
      <c r="AS8" s="37"/>
      <c r="AT8" s="37"/>
      <c r="AU8" s="37"/>
      <c r="AV8" s="37"/>
      <c r="AW8" s="37"/>
      <c r="AX8" s="37"/>
      <c r="AY8" s="37"/>
      <c r="AZ8" s="37"/>
      <c r="BA8" s="64"/>
    </row>
    <row r="9" spans="1:161">
      <c r="A9" s="231">
        <v>2300</v>
      </c>
      <c r="B9" s="4">
        <v>103324</v>
      </c>
      <c r="C9" s="4" t="s">
        <v>235</v>
      </c>
      <c r="D9" s="4" t="s">
        <v>236</v>
      </c>
      <c r="E9" s="213" t="s">
        <v>5</v>
      </c>
      <c r="F9" s="248" t="s">
        <v>229</v>
      </c>
      <c r="G9" s="37"/>
      <c r="H9" s="270">
        <f>_xlfn.IFNA(VLOOKUP(A9,ISB!$A$4:$BY$454,67,FALSE),0)</f>
        <v>3485295.3206081153</v>
      </c>
      <c r="I9" s="270">
        <f>_xlfn.IFNA(VLOOKUP(A9,ISB!$A$4:$BY$454,72,FALSE),0)</f>
        <v>-15919.45</v>
      </c>
      <c r="J9" s="271">
        <f>-_xlfn.IFNA(VLOOKUP(A9,ISB!$A$4:$BY$454,76,FALSE),0)</f>
        <v>-75856.234899999996</v>
      </c>
      <c r="K9" s="271">
        <f>_xlfn.IFNA(VLOOKUP(A9,ISB!$A$4:$BY$454,77,FALSE),0)</f>
        <v>3393519.6357081151</v>
      </c>
      <c r="L9" s="271">
        <f>_xlfn.IFNA(VLOOKUP(A9,'Post 16'!A:AC,13,FALSE),0)+_xlfn.IFNA(VLOOKUP(A9,'Post 16'!A:AC,17,FALSE),0)+(_xlfn.IFNA(VLOOKUP(A9,'Post 16'!A:AC,28,FALSE),0))</f>
        <v>0</v>
      </c>
      <c r="M9" s="271">
        <f>VLOOKUP(A9,HN!A:P,16,FALSE)</f>
        <v>0</v>
      </c>
      <c r="N9" s="271">
        <f>VLOOKUP(A9,HN!A:T,20,FALSE)</f>
        <v>0</v>
      </c>
      <c r="O9" s="271">
        <f>VLOOKUP(A9,EY!A:O,15,FALSE)</f>
        <v>242026.20000000004</v>
      </c>
      <c r="P9" s="271">
        <f>-VLOOKUP(A9,Adjustments!A:M,11,FALSE)</f>
        <v>-18745.650000000001</v>
      </c>
      <c r="Q9" s="273"/>
      <c r="R9" s="273"/>
      <c r="S9" s="273">
        <f t="shared" ref="S9:S70" si="1">SUM(K9:R9)</f>
        <v>3616800.1857081153</v>
      </c>
      <c r="T9" s="37"/>
      <c r="U9" s="37">
        <v>298820.52</v>
      </c>
      <c r="V9" s="37">
        <v>298820.52</v>
      </c>
      <c r="W9" s="37">
        <v>298820.52</v>
      </c>
      <c r="X9" s="37">
        <v>302259.84999999998</v>
      </c>
      <c r="Y9" s="37">
        <v>302259.84999999998</v>
      </c>
      <c r="Z9" s="37">
        <f t="shared" ref="Z9:AE40" si="2">ROUND((($S9-SUM($U9:$Y9))/7),2)</f>
        <v>302259.84999999998</v>
      </c>
      <c r="AA9" s="37">
        <f t="shared" si="0"/>
        <v>302259.84999999998</v>
      </c>
      <c r="AB9" s="37">
        <f t="shared" si="0"/>
        <v>302259.84999999998</v>
      </c>
      <c r="AC9" s="37">
        <f t="shared" si="0"/>
        <v>302259.84999999998</v>
      </c>
      <c r="AD9" s="37">
        <f t="shared" si="0"/>
        <v>302259.84999999998</v>
      </c>
      <c r="AE9" s="37">
        <f t="shared" si="0"/>
        <v>302259.84999999998</v>
      </c>
      <c r="AF9" s="37">
        <f t="shared" ref="AF9:AF71" si="3">($S9-SUM($U9:$AE9))/1</f>
        <v>302259.82570811454</v>
      </c>
      <c r="AG9" s="37">
        <f t="shared" ref="AG9:AG70" si="4">SUM(U9:AF9)</f>
        <v>3616800.1857081153</v>
      </c>
      <c r="AH9" s="37" t="b">
        <f t="shared" ref="AH9:AH70" si="5">IF(AG9=S9,TRUE,FALSE)</f>
        <v>1</v>
      </c>
      <c r="AI9" s="37"/>
      <c r="AJ9" s="37"/>
      <c r="AK9" s="37"/>
      <c r="AL9" s="37"/>
      <c r="AM9" s="37"/>
      <c r="AN9" s="37"/>
      <c r="AO9" s="37"/>
      <c r="AP9" s="207"/>
      <c r="AR9" s="37"/>
      <c r="AS9" s="37"/>
      <c r="AT9" s="37"/>
      <c r="AU9" s="37"/>
      <c r="AV9" s="37"/>
      <c r="AW9" s="37"/>
      <c r="AX9" s="37"/>
      <c r="AY9" s="37"/>
      <c r="AZ9" s="37"/>
      <c r="BA9" s="64"/>
    </row>
    <row r="10" spans="1:161">
      <c r="A10" s="231">
        <v>7016</v>
      </c>
      <c r="B10" s="4">
        <v>103606</v>
      </c>
      <c r="C10" s="4" t="s">
        <v>238</v>
      </c>
      <c r="D10" s="4" t="s">
        <v>239</v>
      </c>
      <c r="E10" s="213" t="s">
        <v>1093</v>
      </c>
      <c r="F10" s="248" t="s">
        <v>229</v>
      </c>
      <c r="G10" s="37"/>
      <c r="H10" s="270">
        <f>_xlfn.IFNA(VLOOKUP(A10,ISB!$A$4:$BY$454,67,FALSE),0)</f>
        <v>0</v>
      </c>
      <c r="I10" s="270">
        <f>_xlfn.IFNA(VLOOKUP(A10,ISB!$A$4:$BY$454,72,FALSE),0)</f>
        <v>0</v>
      </c>
      <c r="J10" s="271">
        <f>-_xlfn.IFNA(VLOOKUP(A10,ISB!$A$4:$BY$454,76,FALSE),0)</f>
        <v>0</v>
      </c>
      <c r="K10" s="271">
        <f>_xlfn.IFNA(VLOOKUP(A10,ISB!$A$4:$BY$454,77,FALSE),0)</f>
        <v>0</v>
      </c>
      <c r="L10" s="271">
        <f>_xlfn.IFNA(VLOOKUP(A10,'Post 16'!A:AC,13,FALSE),0)+_xlfn.IFNA(VLOOKUP(A10,'Post 16'!A:AC,17,FALSE),0)+(_xlfn.IFNA(VLOOKUP(A10,'Post 16'!A:AC,28,FALSE),0))</f>
        <v>0</v>
      </c>
      <c r="M10" s="271">
        <f>VLOOKUP(A10,HN!A:P,16,FALSE)</f>
        <v>6575463.1539534284</v>
      </c>
      <c r="N10" s="271">
        <f>VLOOKUP(A10,HN!A:T,20,FALSE)</f>
        <v>0</v>
      </c>
      <c r="O10" s="271">
        <f>VLOOKUP(A10,EY!A:O,15,FALSE)</f>
        <v>0</v>
      </c>
      <c r="P10" s="271">
        <f>-VLOOKUP(A10,Adjustments!A:M,11,FALSE)</f>
        <v>-4700</v>
      </c>
      <c r="Q10" s="273"/>
      <c r="R10" s="273"/>
      <c r="S10" s="273">
        <f t="shared" si="1"/>
        <v>6570763.1539534284</v>
      </c>
      <c r="T10" s="37"/>
      <c r="U10" s="37">
        <v>547955.26</v>
      </c>
      <c r="V10" s="37">
        <v>547955.26</v>
      </c>
      <c r="W10" s="37">
        <v>547955.26</v>
      </c>
      <c r="X10" s="37">
        <v>547384.18000000005</v>
      </c>
      <c r="Y10" s="37">
        <v>547384.18000000005</v>
      </c>
      <c r="Z10" s="37">
        <f t="shared" si="2"/>
        <v>547447</v>
      </c>
      <c r="AA10" s="37">
        <f t="shared" si="0"/>
        <v>547447</v>
      </c>
      <c r="AB10" s="37">
        <f t="shared" si="0"/>
        <v>547447</v>
      </c>
      <c r="AC10" s="37">
        <f t="shared" si="0"/>
        <v>547447</v>
      </c>
      <c r="AD10" s="37">
        <f t="shared" si="0"/>
        <v>547447</v>
      </c>
      <c r="AE10" s="37">
        <f t="shared" si="0"/>
        <v>547447</v>
      </c>
      <c r="AF10" s="37">
        <f t="shared" si="3"/>
        <v>547447.01395342778</v>
      </c>
      <c r="AG10" s="37">
        <f t="shared" si="4"/>
        <v>6570763.1539534284</v>
      </c>
      <c r="AH10" s="37" t="b">
        <f t="shared" si="5"/>
        <v>1</v>
      </c>
      <c r="AI10" s="37"/>
      <c r="AJ10" s="37"/>
      <c r="AK10" s="37"/>
      <c r="AL10" s="37"/>
      <c r="AM10" s="37"/>
      <c r="AN10" s="37"/>
      <c r="AO10" s="37"/>
      <c r="AP10" s="207"/>
      <c r="AR10" s="37"/>
      <c r="AS10" s="37"/>
      <c r="AT10" s="37"/>
      <c r="AU10" s="37"/>
      <c r="AV10" s="37"/>
      <c r="AW10" s="37"/>
      <c r="AX10" s="37"/>
      <c r="AY10" s="37"/>
      <c r="AZ10" s="37"/>
      <c r="BA10" s="64"/>
    </row>
    <row r="11" spans="1:161">
      <c r="A11" s="231">
        <v>5413</v>
      </c>
      <c r="B11" s="4">
        <v>103560</v>
      </c>
      <c r="C11" s="4" t="s">
        <v>241</v>
      </c>
      <c r="D11" s="4" t="s">
        <v>242</v>
      </c>
      <c r="E11" s="213" t="s">
        <v>6</v>
      </c>
      <c r="F11" s="248" t="s">
        <v>229</v>
      </c>
      <c r="G11" s="37"/>
      <c r="H11" s="270">
        <f>_xlfn.IFNA(VLOOKUP(A11,ISB!$A$4:$BY$454,67,FALSE),0)</f>
        <v>6769746.333298997</v>
      </c>
      <c r="I11" s="270">
        <f>_xlfn.IFNA(VLOOKUP(A11,ISB!$A$4:$BY$454,72,FALSE),0)</f>
        <v>-19137.150000000001</v>
      </c>
      <c r="J11" s="271">
        <f>-_xlfn.IFNA(VLOOKUP(A11,ISB!$A$4:$BY$454,76,FALSE),0)</f>
        <v>-82149.504000000001</v>
      </c>
      <c r="K11" s="271">
        <f>_xlfn.IFNA(VLOOKUP(A11,ISB!$A$4:$BY$454,77,FALSE),0)</f>
        <v>6668459.6792989969</v>
      </c>
      <c r="L11" s="271">
        <f>_xlfn.IFNA(VLOOKUP(A11,'Post 16'!A:AC,13,FALSE),0)+_xlfn.IFNA(VLOOKUP(A11,'Post 16'!A:AC,17,FALSE),0)+(_xlfn.IFNA(VLOOKUP(A11,'Post 16'!A:AC,28,FALSE),0))</f>
        <v>1406823.3333333335</v>
      </c>
      <c r="M11" s="271">
        <f>VLOOKUP(A11,HN!A:P,16,FALSE)</f>
        <v>0</v>
      </c>
      <c r="N11" s="271">
        <f>VLOOKUP(A11,HN!A:T,20,FALSE)</f>
        <v>0</v>
      </c>
      <c r="O11" s="271">
        <f>VLOOKUP(A11,EY!A:O,15,FALSE)</f>
        <v>0</v>
      </c>
      <c r="P11" s="271">
        <f>-VLOOKUP(A11,Adjustments!A:M,11,FALSE)</f>
        <v>0</v>
      </c>
      <c r="Q11" s="273"/>
      <c r="R11" s="273"/>
      <c r="S11" s="273">
        <f t="shared" si="1"/>
        <v>8075283.0126323309</v>
      </c>
      <c r="T11" s="37"/>
      <c r="U11" s="37">
        <v>672940.25</v>
      </c>
      <c r="V11" s="37">
        <v>672940.25</v>
      </c>
      <c r="W11" s="37">
        <v>672940.25</v>
      </c>
      <c r="X11" s="37">
        <v>672940.25</v>
      </c>
      <c r="Y11" s="37">
        <v>672940.25</v>
      </c>
      <c r="Z11" s="37">
        <f t="shared" si="2"/>
        <v>672940.25</v>
      </c>
      <c r="AA11" s="37">
        <f t="shared" si="0"/>
        <v>672940.25</v>
      </c>
      <c r="AB11" s="37">
        <f t="shared" si="0"/>
        <v>672940.25</v>
      </c>
      <c r="AC11" s="37">
        <f t="shared" si="0"/>
        <v>672940.25</v>
      </c>
      <c r="AD11" s="37">
        <f t="shared" si="0"/>
        <v>672940.25</v>
      </c>
      <c r="AE11" s="37">
        <f t="shared" si="0"/>
        <v>672940.25</v>
      </c>
      <c r="AF11" s="37">
        <f t="shared" si="3"/>
        <v>672940.26263233088</v>
      </c>
      <c r="AG11" s="37">
        <f t="shared" si="4"/>
        <v>8075283.0126323309</v>
      </c>
      <c r="AH11" s="37" t="b">
        <f t="shared" si="5"/>
        <v>1</v>
      </c>
      <c r="AI11" s="37"/>
      <c r="AJ11" s="37"/>
      <c r="AK11" s="37"/>
      <c r="AL11" s="37"/>
      <c r="AM11" s="37"/>
      <c r="AN11" s="37"/>
      <c r="AO11" s="37"/>
      <c r="AP11" s="207"/>
      <c r="AR11" s="37"/>
      <c r="AS11" s="37"/>
      <c r="AT11" s="37"/>
      <c r="AU11" s="37"/>
      <c r="AV11" s="37"/>
      <c r="AW11" s="37"/>
      <c r="AX11" s="37"/>
      <c r="AY11" s="37"/>
      <c r="AZ11" s="37"/>
      <c r="BA11" s="64"/>
    </row>
    <row r="12" spans="1:161">
      <c r="A12" s="231">
        <v>2402</v>
      </c>
      <c r="B12" s="4">
        <v>103342</v>
      </c>
      <c r="C12" s="4" t="s">
        <v>244</v>
      </c>
      <c r="D12" s="4" t="s">
        <v>245</v>
      </c>
      <c r="E12" s="213" t="s">
        <v>5</v>
      </c>
      <c r="F12" s="248" t="s">
        <v>229</v>
      </c>
      <c r="G12" s="37"/>
      <c r="H12" s="270">
        <f>_xlfn.IFNA(VLOOKUP(A12,ISB!$A$4:$BY$454,67,FALSE),0)</f>
        <v>1335544.2400068592</v>
      </c>
      <c r="I12" s="270">
        <f>_xlfn.IFNA(VLOOKUP(A12,ISB!$A$4:$BY$454,72,FALSE),0)</f>
        <v>-7019.6</v>
      </c>
      <c r="J12" s="271">
        <f>-_xlfn.IFNA(VLOOKUP(A12,ISB!$A$4:$BY$454,76,FALSE),0)</f>
        <v>-18078.8999</v>
      </c>
      <c r="K12" s="271">
        <f>_xlfn.IFNA(VLOOKUP(A12,ISB!$A$4:$BY$454,77,FALSE),0)</f>
        <v>1310445.740106859</v>
      </c>
      <c r="L12" s="271">
        <f>_xlfn.IFNA(VLOOKUP(A12,'Post 16'!A:AC,13,FALSE),0)+_xlfn.IFNA(VLOOKUP(A12,'Post 16'!A:AC,17,FALSE),0)+(_xlfn.IFNA(VLOOKUP(A12,'Post 16'!A:AC,28,FALSE),0))</f>
        <v>0</v>
      </c>
      <c r="M12" s="271">
        <f>VLOOKUP(A12,HN!A:P,16,FALSE)</f>
        <v>0</v>
      </c>
      <c r="N12" s="271">
        <f>VLOOKUP(A12,HN!A:T,20,FALSE)</f>
        <v>389410.57692307688</v>
      </c>
      <c r="O12" s="271">
        <f>VLOOKUP(A12,EY!A:O,15,FALSE)</f>
        <v>154960.79999999999</v>
      </c>
      <c r="P12" s="271">
        <f>-VLOOKUP(A12,Adjustments!A:M,11,FALSE)</f>
        <v>-5139.75</v>
      </c>
      <c r="Q12" s="273"/>
      <c r="R12" s="273"/>
      <c r="S12" s="273">
        <f t="shared" si="1"/>
        <v>1849677.3670299358</v>
      </c>
      <c r="T12" s="37"/>
      <c r="U12" s="37">
        <v>118764</v>
      </c>
      <c r="V12" s="37">
        <v>118764</v>
      </c>
      <c r="W12" s="37">
        <v>118764</v>
      </c>
      <c r="X12" s="37">
        <v>252467.39564102562</v>
      </c>
      <c r="Y12" s="37">
        <v>155114.75</v>
      </c>
      <c r="Z12" s="37">
        <f t="shared" si="2"/>
        <v>155114.75</v>
      </c>
      <c r="AA12" s="37">
        <f t="shared" si="0"/>
        <v>155114.75</v>
      </c>
      <c r="AB12" s="37">
        <f t="shared" si="0"/>
        <v>155114.75</v>
      </c>
      <c r="AC12" s="37">
        <f t="shared" si="0"/>
        <v>155114.75</v>
      </c>
      <c r="AD12" s="37">
        <f t="shared" si="0"/>
        <v>155114.75</v>
      </c>
      <c r="AE12" s="37">
        <f t="shared" si="0"/>
        <v>155114.75</v>
      </c>
      <c r="AF12" s="37">
        <f t="shared" si="3"/>
        <v>155114.7213889102</v>
      </c>
      <c r="AG12" s="37">
        <f t="shared" si="4"/>
        <v>1849677.3670299358</v>
      </c>
      <c r="AH12" s="37" t="b">
        <f t="shared" si="5"/>
        <v>1</v>
      </c>
      <c r="AI12" s="37"/>
      <c r="AJ12" s="37"/>
      <c r="AK12" s="37"/>
      <c r="AL12" s="37"/>
      <c r="AM12" s="37"/>
      <c r="AN12" s="37"/>
      <c r="AO12" s="37"/>
      <c r="AP12" s="207"/>
      <c r="AR12" s="37"/>
      <c r="AS12" s="37"/>
      <c r="AT12" s="37"/>
      <c r="AU12" s="37"/>
      <c r="AV12" s="37"/>
      <c r="AW12" s="37"/>
      <c r="AX12" s="37"/>
      <c r="AY12" s="37"/>
      <c r="AZ12" s="37"/>
      <c r="BA12" s="64"/>
    </row>
    <row r="13" spans="1:161">
      <c r="A13" s="231">
        <v>2401</v>
      </c>
      <c r="B13" s="4">
        <v>103341</v>
      </c>
      <c r="C13" s="4" t="s">
        <v>247</v>
      </c>
      <c r="D13" s="4" t="s">
        <v>248</v>
      </c>
      <c r="E13" s="213" t="s">
        <v>5</v>
      </c>
      <c r="F13" s="248" t="s">
        <v>229</v>
      </c>
      <c r="G13" s="37"/>
      <c r="H13" s="270">
        <f>_xlfn.IFNA(VLOOKUP(A13,ISB!$A$4:$BY$454,67,FALSE),0)</f>
        <v>1772848.9975999999</v>
      </c>
      <c r="I13" s="270">
        <f>_xlfn.IFNA(VLOOKUP(A13,ISB!$A$4:$BY$454,72,FALSE),0)</f>
        <v>-9526.6</v>
      </c>
      <c r="J13" s="271">
        <f>-_xlfn.IFNA(VLOOKUP(A13,ISB!$A$4:$BY$454,76,FALSE),0)</f>
        <v>-21048.997599999999</v>
      </c>
      <c r="K13" s="271">
        <f>_xlfn.IFNA(VLOOKUP(A13,ISB!$A$4:$BY$454,77,FALSE),0)</f>
        <v>1742273.4</v>
      </c>
      <c r="L13" s="271">
        <f>_xlfn.IFNA(VLOOKUP(A13,'Post 16'!A:AC,13,FALSE),0)+_xlfn.IFNA(VLOOKUP(A13,'Post 16'!A:AC,17,FALSE),0)+(_xlfn.IFNA(VLOOKUP(A13,'Post 16'!A:AC,28,FALSE),0))</f>
        <v>0</v>
      </c>
      <c r="M13" s="271">
        <f>VLOOKUP(A13,HN!A:P,16,FALSE)</f>
        <v>0</v>
      </c>
      <c r="N13" s="271">
        <f>VLOOKUP(A13,HN!A:T,20,FALSE)</f>
        <v>0</v>
      </c>
      <c r="O13" s="271">
        <f>VLOOKUP(A13,EY!A:O,15,FALSE)</f>
        <v>0</v>
      </c>
      <c r="P13" s="271">
        <f>-VLOOKUP(A13,Adjustments!A:M,11,FALSE)</f>
        <v>-9471</v>
      </c>
      <c r="Q13" s="273"/>
      <c r="R13" s="273"/>
      <c r="S13" s="273">
        <f t="shared" si="1"/>
        <v>1732802.4</v>
      </c>
      <c r="T13" s="37"/>
      <c r="U13" s="37">
        <v>144400.20000000001</v>
      </c>
      <c r="V13" s="37">
        <v>144400.20000000001</v>
      </c>
      <c r="W13" s="37">
        <v>144400.20000000001</v>
      </c>
      <c r="X13" s="37">
        <v>144400.20000000001</v>
      </c>
      <c r="Y13" s="37">
        <v>144400.20000000001</v>
      </c>
      <c r="Z13" s="37">
        <f t="shared" si="2"/>
        <v>144400.20000000001</v>
      </c>
      <c r="AA13" s="37">
        <f t="shared" si="0"/>
        <v>144400.20000000001</v>
      </c>
      <c r="AB13" s="37">
        <f t="shared" si="0"/>
        <v>144400.20000000001</v>
      </c>
      <c r="AC13" s="37">
        <f t="shared" si="0"/>
        <v>144400.20000000001</v>
      </c>
      <c r="AD13" s="37">
        <f t="shared" si="0"/>
        <v>144400.20000000001</v>
      </c>
      <c r="AE13" s="37">
        <f t="shared" si="0"/>
        <v>144400.20000000001</v>
      </c>
      <c r="AF13" s="37">
        <f t="shared" si="3"/>
        <v>144400.20000000019</v>
      </c>
      <c r="AG13" s="37">
        <f t="shared" si="4"/>
        <v>1732802.4</v>
      </c>
      <c r="AH13" s="37" t="b">
        <f t="shared" si="5"/>
        <v>1</v>
      </c>
      <c r="AI13" s="37"/>
      <c r="AJ13" s="37"/>
      <c r="AK13" s="37"/>
      <c r="AL13" s="37"/>
      <c r="AM13" s="37"/>
      <c r="AN13" s="37"/>
      <c r="AO13" s="37"/>
      <c r="AP13" s="207"/>
      <c r="AR13" s="37"/>
      <c r="AS13" s="37"/>
      <c r="AT13" s="37"/>
      <c r="AU13" s="37"/>
      <c r="AV13" s="37"/>
      <c r="AW13" s="37"/>
      <c r="AX13" s="37"/>
      <c r="AY13" s="37"/>
      <c r="AZ13" s="37"/>
      <c r="BA13" s="64"/>
    </row>
    <row r="14" spans="1:161">
      <c r="A14" s="231">
        <v>4115</v>
      </c>
      <c r="B14" s="4">
        <v>103493</v>
      </c>
      <c r="C14" s="4" t="s">
        <v>250</v>
      </c>
      <c r="D14" s="4" t="s">
        <v>251</v>
      </c>
      <c r="E14" s="213" t="s">
        <v>6</v>
      </c>
      <c r="F14" s="248" t="s">
        <v>229</v>
      </c>
      <c r="G14" s="37"/>
      <c r="H14" s="270">
        <f>_xlfn.IFNA(VLOOKUP(A14,ISB!$A$4:$BY$454,67,FALSE),0)</f>
        <v>4977875.3587142946</v>
      </c>
      <c r="I14" s="270">
        <f>_xlfn.IFNA(VLOOKUP(A14,ISB!$A$4:$BY$454,72,FALSE),0)</f>
        <v>-12384</v>
      </c>
      <c r="J14" s="271">
        <f>-_xlfn.IFNA(VLOOKUP(A14,ISB!$A$4:$BY$454,76,FALSE),0)</f>
        <v>-80286.862299999993</v>
      </c>
      <c r="K14" s="271">
        <f>_xlfn.IFNA(VLOOKUP(A14,ISB!$A$4:$BY$454,77,FALSE),0)</f>
        <v>4885204.4964142945</v>
      </c>
      <c r="L14" s="271">
        <f>_xlfn.IFNA(VLOOKUP(A14,'Post 16'!A:AC,13,FALSE),0)+_xlfn.IFNA(VLOOKUP(A14,'Post 16'!A:AC,17,FALSE),0)+(_xlfn.IFNA(VLOOKUP(A14,'Post 16'!A:AC,28,FALSE),0))</f>
        <v>2178199.3333333335</v>
      </c>
      <c r="M14" s="271">
        <f>VLOOKUP(A14,HN!A:P,16,FALSE)</f>
        <v>0</v>
      </c>
      <c r="N14" s="271">
        <f>VLOOKUP(A14,HN!A:T,20,FALSE)</f>
        <v>261843.4319653846</v>
      </c>
      <c r="O14" s="271">
        <f>VLOOKUP(A14,EY!A:O,15,FALSE)</f>
        <v>0</v>
      </c>
      <c r="P14" s="271">
        <f>-VLOOKUP(A14,Adjustments!A:M,11,FALSE)</f>
        <v>-18745.650000000001</v>
      </c>
      <c r="Q14" s="273"/>
      <c r="R14" s="273"/>
      <c r="S14" s="273">
        <f t="shared" si="1"/>
        <v>7306501.6117130127</v>
      </c>
      <c r="T14" s="37"/>
      <c r="U14" s="37">
        <v>587896.4</v>
      </c>
      <c r="V14" s="37">
        <v>587896.4</v>
      </c>
      <c r="W14" s="37">
        <v>587896.4</v>
      </c>
      <c r="X14" s="37">
        <v>675177.55398846162</v>
      </c>
      <c r="Y14" s="37">
        <v>609716.68999999994</v>
      </c>
      <c r="Z14" s="37">
        <f t="shared" si="2"/>
        <v>608274.02</v>
      </c>
      <c r="AA14" s="37">
        <f t="shared" si="0"/>
        <v>608274.02</v>
      </c>
      <c r="AB14" s="37">
        <f t="shared" si="0"/>
        <v>608274.02</v>
      </c>
      <c r="AC14" s="37">
        <f t="shared" si="0"/>
        <v>608274.02</v>
      </c>
      <c r="AD14" s="37">
        <f t="shared" si="0"/>
        <v>608274.02</v>
      </c>
      <c r="AE14" s="37">
        <f t="shared" si="0"/>
        <v>608274.02</v>
      </c>
      <c r="AF14" s="37">
        <f t="shared" si="3"/>
        <v>608274.04772455245</v>
      </c>
      <c r="AG14" s="37">
        <f t="shared" si="4"/>
        <v>7306501.6117130127</v>
      </c>
      <c r="AH14" s="37" t="b">
        <f t="shared" si="5"/>
        <v>1</v>
      </c>
      <c r="AI14" s="37"/>
      <c r="AJ14" s="37"/>
      <c r="AK14" s="37"/>
      <c r="AL14" s="37"/>
      <c r="AM14" s="37"/>
      <c r="AN14" s="37"/>
      <c r="AO14" s="37"/>
      <c r="AP14" s="207"/>
      <c r="AR14" s="37"/>
      <c r="AS14" s="37"/>
      <c r="AT14" s="37"/>
      <c r="AU14" s="37"/>
      <c r="AV14" s="37"/>
      <c r="AW14" s="37"/>
      <c r="AX14" s="37"/>
      <c r="AY14" s="37"/>
      <c r="AZ14" s="37"/>
      <c r="BA14" s="64"/>
    </row>
    <row r="15" spans="1:161">
      <c r="A15" s="231">
        <v>2030</v>
      </c>
      <c r="B15" s="4">
        <v>103172</v>
      </c>
      <c r="C15" s="4" t="s">
        <v>253</v>
      </c>
      <c r="D15" s="4" t="s">
        <v>254</v>
      </c>
      <c r="E15" s="213" t="s">
        <v>5</v>
      </c>
      <c r="F15" s="248" t="s">
        <v>229</v>
      </c>
      <c r="G15" s="37"/>
      <c r="H15" s="270">
        <f>_xlfn.IFNA(VLOOKUP(A15,ISB!$A$4:$BY$454,67,FALSE),0)</f>
        <v>3501940.053512902</v>
      </c>
      <c r="I15" s="270">
        <f>_xlfn.IFNA(VLOOKUP(A15,ISB!$A$4:$BY$454,72,FALSE),0)</f>
        <v>-15718.89</v>
      </c>
      <c r="J15" s="271">
        <f>-_xlfn.IFNA(VLOOKUP(A15,ISB!$A$4:$BY$454,76,FALSE),0)</f>
        <v>-33389.7984</v>
      </c>
      <c r="K15" s="271">
        <f>_xlfn.IFNA(VLOOKUP(A15,ISB!$A$4:$BY$454,77,FALSE),0)</f>
        <v>3452831.3651129017</v>
      </c>
      <c r="L15" s="271">
        <f>_xlfn.IFNA(VLOOKUP(A15,'Post 16'!A:AC,13,FALSE),0)+_xlfn.IFNA(VLOOKUP(A15,'Post 16'!A:AC,17,FALSE),0)+(_xlfn.IFNA(VLOOKUP(A15,'Post 16'!A:AC,28,FALSE),0))</f>
        <v>0</v>
      </c>
      <c r="M15" s="271">
        <f>VLOOKUP(A15,HN!A:P,16,FALSE)</f>
        <v>0</v>
      </c>
      <c r="N15" s="271">
        <f>VLOOKUP(A15,HN!A:T,20,FALSE)</f>
        <v>0</v>
      </c>
      <c r="O15" s="271">
        <f>VLOOKUP(A15,EY!A:O,15,FALSE)</f>
        <v>155770.5</v>
      </c>
      <c r="P15" s="271">
        <f>-VLOOKUP(A15,Adjustments!A:M,11,FALSE)</f>
        <v>-18745.650000000001</v>
      </c>
      <c r="Q15" s="273"/>
      <c r="R15" s="273"/>
      <c r="S15" s="273">
        <f t="shared" si="1"/>
        <v>3589856.2151129018</v>
      </c>
      <c r="T15" s="37"/>
      <c r="U15" s="37">
        <v>297825.2</v>
      </c>
      <c r="V15" s="37">
        <v>297825.2</v>
      </c>
      <c r="W15" s="37">
        <v>297825.2</v>
      </c>
      <c r="X15" s="37">
        <v>299597.84999999998</v>
      </c>
      <c r="Y15" s="37">
        <v>299597.84999999998</v>
      </c>
      <c r="Z15" s="37">
        <f t="shared" si="2"/>
        <v>299597.84999999998</v>
      </c>
      <c r="AA15" s="37">
        <f t="shared" si="0"/>
        <v>299597.84999999998</v>
      </c>
      <c r="AB15" s="37">
        <f t="shared" si="0"/>
        <v>299597.84999999998</v>
      </c>
      <c r="AC15" s="37">
        <f t="shared" si="0"/>
        <v>299597.84999999998</v>
      </c>
      <c r="AD15" s="37">
        <f t="shared" si="0"/>
        <v>299597.84999999998</v>
      </c>
      <c r="AE15" s="37">
        <f t="shared" si="0"/>
        <v>299597.84999999998</v>
      </c>
      <c r="AF15" s="37">
        <f t="shared" si="3"/>
        <v>299597.81511290092</v>
      </c>
      <c r="AG15" s="37">
        <f t="shared" si="4"/>
        <v>3589856.2151129018</v>
      </c>
      <c r="AH15" s="37" t="b">
        <f t="shared" si="5"/>
        <v>1</v>
      </c>
      <c r="AI15" s="37"/>
      <c r="AJ15" s="37"/>
      <c r="AK15" s="37"/>
      <c r="AL15" s="37"/>
      <c r="AM15" s="37"/>
      <c r="AN15" s="37"/>
      <c r="AO15" s="37"/>
      <c r="AP15" s="207"/>
      <c r="AR15" s="37"/>
      <c r="AS15" s="37"/>
      <c r="AT15" s="37"/>
      <c r="AU15" s="37"/>
      <c r="AV15" s="37"/>
      <c r="AW15" s="37"/>
      <c r="AX15" s="37"/>
      <c r="AY15" s="37"/>
      <c r="AZ15" s="37"/>
      <c r="BA15" s="64"/>
    </row>
    <row r="16" spans="1:161">
      <c r="A16" s="231">
        <v>2238</v>
      </c>
      <c r="B16" s="4">
        <v>103288</v>
      </c>
      <c r="C16" s="4" t="s">
        <v>256</v>
      </c>
      <c r="D16" s="4" t="s">
        <v>257</v>
      </c>
      <c r="E16" s="213" t="s">
        <v>5</v>
      </c>
      <c r="F16" s="248" t="s">
        <v>229</v>
      </c>
      <c r="G16" s="37"/>
      <c r="H16" s="270">
        <f>_xlfn.IFNA(VLOOKUP(A16,ISB!$A$4:$BY$454,67,FALSE),0)</f>
        <v>933946.80178649584</v>
      </c>
      <c r="I16" s="270">
        <f>_xlfn.IFNA(VLOOKUP(A16,ISB!$A$4:$BY$454,72,FALSE),0)</f>
        <v>-3910.92</v>
      </c>
      <c r="J16" s="271">
        <f>-_xlfn.IFNA(VLOOKUP(A16,ISB!$A$4:$BY$454,76,FALSE),0)</f>
        <v>-13652.722100000001</v>
      </c>
      <c r="K16" s="271">
        <f>_xlfn.IFNA(VLOOKUP(A16,ISB!$A$4:$BY$454,77,FALSE),0)</f>
        <v>916383.15968649578</v>
      </c>
      <c r="L16" s="271">
        <f>_xlfn.IFNA(VLOOKUP(A16,'Post 16'!A:AC,13,FALSE),0)+_xlfn.IFNA(VLOOKUP(A16,'Post 16'!A:AC,17,FALSE),0)+(_xlfn.IFNA(VLOOKUP(A16,'Post 16'!A:AC,28,FALSE),0))</f>
        <v>0</v>
      </c>
      <c r="M16" s="271">
        <f>VLOOKUP(A16,HN!A:P,16,FALSE)</f>
        <v>0</v>
      </c>
      <c r="N16" s="271">
        <f>VLOOKUP(A16,HN!A:T,20,FALSE)</f>
        <v>0</v>
      </c>
      <c r="O16" s="271">
        <f>VLOOKUP(A16,EY!A:O,15,FALSE)</f>
        <v>71020.499999999985</v>
      </c>
      <c r="P16" s="271">
        <f>-VLOOKUP(A16,Adjustments!A:M,11,FALSE)</f>
        <v>-5139.75</v>
      </c>
      <c r="Q16" s="273"/>
      <c r="R16" s="273"/>
      <c r="S16" s="273">
        <f t="shared" si="1"/>
        <v>982263.90968649578</v>
      </c>
      <c r="T16" s="37"/>
      <c r="U16" s="37">
        <v>85182.720000000001</v>
      </c>
      <c r="V16" s="37">
        <v>85182.720000000001</v>
      </c>
      <c r="W16" s="37">
        <v>85182.720000000001</v>
      </c>
      <c r="X16" s="37">
        <v>80746.19</v>
      </c>
      <c r="Y16" s="37">
        <v>80746.19</v>
      </c>
      <c r="Z16" s="37">
        <f t="shared" si="2"/>
        <v>80746.2</v>
      </c>
      <c r="AA16" s="37">
        <f t="shared" si="0"/>
        <v>80746.2</v>
      </c>
      <c r="AB16" s="37">
        <f t="shared" si="0"/>
        <v>80746.2</v>
      </c>
      <c r="AC16" s="37">
        <f t="shared" si="0"/>
        <v>80746.2</v>
      </c>
      <c r="AD16" s="37">
        <f t="shared" si="0"/>
        <v>80746.2</v>
      </c>
      <c r="AE16" s="37">
        <f t="shared" si="0"/>
        <v>80746.2</v>
      </c>
      <c r="AF16" s="37">
        <f t="shared" si="3"/>
        <v>80746.169686496025</v>
      </c>
      <c r="AG16" s="37">
        <f t="shared" si="4"/>
        <v>982263.90968649578</v>
      </c>
      <c r="AH16" s="37" t="b">
        <f t="shared" si="5"/>
        <v>1</v>
      </c>
      <c r="AI16" s="37"/>
      <c r="AJ16" s="37"/>
      <c r="AK16" s="37"/>
      <c r="AL16" s="37"/>
      <c r="AM16" s="37"/>
      <c r="AN16" s="37"/>
      <c r="AO16" s="37"/>
      <c r="AP16" s="207"/>
      <c r="AR16" s="37"/>
      <c r="AS16" s="37"/>
      <c r="AT16" s="37"/>
      <c r="AU16" s="37"/>
      <c r="AV16" s="37"/>
      <c r="AW16" s="37"/>
      <c r="AX16" s="37"/>
      <c r="AY16" s="37"/>
      <c r="AZ16" s="37"/>
      <c r="BA16" s="64"/>
    </row>
    <row r="17" spans="1:53">
      <c r="A17" s="231">
        <v>2236</v>
      </c>
      <c r="B17" s="4">
        <v>103286</v>
      </c>
      <c r="C17" s="4" t="s">
        <v>259</v>
      </c>
      <c r="D17" s="4" t="s">
        <v>260</v>
      </c>
      <c r="E17" s="213" t="s">
        <v>5</v>
      </c>
      <c r="F17" s="248" t="s">
        <v>229</v>
      </c>
      <c r="G17" s="37"/>
      <c r="H17" s="270">
        <f>_xlfn.IFNA(VLOOKUP(A17,ISB!$A$4:$BY$454,67,FALSE),0)</f>
        <v>1292688.3029554537</v>
      </c>
      <c r="I17" s="270">
        <f>_xlfn.IFNA(VLOOKUP(A17,ISB!$A$4:$BY$454,72,FALSE),0)</f>
        <v>-5540.47</v>
      </c>
      <c r="J17" s="271">
        <f>-_xlfn.IFNA(VLOOKUP(A17,ISB!$A$4:$BY$454,76,FALSE),0)</f>
        <v>-16027.0987</v>
      </c>
      <c r="K17" s="271">
        <f>_xlfn.IFNA(VLOOKUP(A17,ISB!$A$4:$BY$454,77,FALSE),0)</f>
        <v>1271120.7342554538</v>
      </c>
      <c r="L17" s="271">
        <f>_xlfn.IFNA(VLOOKUP(A17,'Post 16'!A:AC,13,FALSE),0)+_xlfn.IFNA(VLOOKUP(A17,'Post 16'!A:AC,17,FALSE),0)+(_xlfn.IFNA(VLOOKUP(A17,'Post 16'!A:AC,28,FALSE),0))</f>
        <v>0</v>
      </c>
      <c r="M17" s="271">
        <f>VLOOKUP(A17,HN!A:P,16,FALSE)</f>
        <v>0</v>
      </c>
      <c r="N17" s="271">
        <f>VLOOKUP(A17,HN!A:T,20,FALSE)</f>
        <v>0</v>
      </c>
      <c r="O17" s="271">
        <f>VLOOKUP(A17,EY!A:O,15,FALSE)</f>
        <v>0</v>
      </c>
      <c r="P17" s="271">
        <f>-VLOOKUP(A17,Adjustments!A:M,11,FALSE)</f>
        <v>-5139.75</v>
      </c>
      <c r="Q17" s="273"/>
      <c r="R17" s="273"/>
      <c r="S17" s="273">
        <f t="shared" si="1"/>
        <v>1265980.9842554538</v>
      </c>
      <c r="T17" s="37"/>
      <c r="U17" s="37">
        <v>105498.42</v>
      </c>
      <c r="V17" s="37">
        <v>105498.42</v>
      </c>
      <c r="W17" s="37">
        <v>105498.42</v>
      </c>
      <c r="X17" s="37">
        <v>105498.41</v>
      </c>
      <c r="Y17" s="37">
        <v>105498.41</v>
      </c>
      <c r="Z17" s="37">
        <f t="shared" si="2"/>
        <v>105498.41</v>
      </c>
      <c r="AA17" s="37">
        <f t="shared" si="0"/>
        <v>105498.41</v>
      </c>
      <c r="AB17" s="37">
        <f t="shared" si="0"/>
        <v>105498.41</v>
      </c>
      <c r="AC17" s="37">
        <f t="shared" si="0"/>
        <v>105498.41</v>
      </c>
      <c r="AD17" s="37">
        <f t="shared" si="0"/>
        <v>105498.41</v>
      </c>
      <c r="AE17" s="37">
        <f t="shared" si="0"/>
        <v>105498.41</v>
      </c>
      <c r="AF17" s="37">
        <f t="shared" si="3"/>
        <v>105498.44425545377</v>
      </c>
      <c r="AG17" s="37">
        <f t="shared" si="4"/>
        <v>1265980.9842554538</v>
      </c>
      <c r="AH17" s="37" t="b">
        <f t="shared" si="5"/>
        <v>1</v>
      </c>
      <c r="AI17" s="37"/>
      <c r="AJ17" s="37"/>
      <c r="AK17" s="37"/>
      <c r="AL17" s="37"/>
      <c r="AM17" s="37"/>
      <c r="AN17" s="37"/>
      <c r="AO17" s="37"/>
      <c r="AP17" s="207"/>
      <c r="AR17" s="37"/>
      <c r="AS17" s="37"/>
      <c r="AT17" s="37"/>
      <c r="AU17" s="37"/>
      <c r="AV17" s="37"/>
      <c r="AW17" s="37"/>
      <c r="AX17" s="37"/>
      <c r="AY17" s="37"/>
      <c r="AZ17" s="37"/>
      <c r="BA17" s="64"/>
    </row>
    <row r="18" spans="1:53">
      <c r="A18" s="231">
        <v>4801</v>
      </c>
      <c r="B18" s="4">
        <v>103539</v>
      </c>
      <c r="C18" s="4" t="s">
        <v>262</v>
      </c>
      <c r="D18" s="4" t="s">
        <v>263</v>
      </c>
      <c r="E18" s="213" t="s">
        <v>6</v>
      </c>
      <c r="F18" s="248" t="s">
        <v>229</v>
      </c>
      <c r="G18" s="37"/>
      <c r="H18" s="270">
        <f>_xlfn.IFNA(VLOOKUP(A18,ISB!$A$4:$BY$454,67,FALSE),0)</f>
        <v>5724170.1384268291</v>
      </c>
      <c r="I18" s="270">
        <f>_xlfn.IFNA(VLOOKUP(A18,ISB!$A$4:$BY$454,72,FALSE),0)</f>
        <v>-15034.95</v>
      </c>
      <c r="J18" s="271">
        <f>-_xlfn.IFNA(VLOOKUP(A18,ISB!$A$4:$BY$454,76,FALSE),0)</f>
        <v>-24697.855</v>
      </c>
      <c r="K18" s="271">
        <f>_xlfn.IFNA(VLOOKUP(A18,ISB!$A$4:$BY$454,77,FALSE),0)</f>
        <v>5684437.3334268285</v>
      </c>
      <c r="L18" s="271">
        <f>_xlfn.IFNA(VLOOKUP(A18,'Post 16'!A:AC,13,FALSE),0)+_xlfn.IFNA(VLOOKUP(A18,'Post 16'!A:AC,17,FALSE),0)+(_xlfn.IFNA(VLOOKUP(A18,'Post 16'!A:AC,28,FALSE),0))</f>
        <v>0</v>
      </c>
      <c r="M18" s="271">
        <f>VLOOKUP(A18,HN!A:P,16,FALSE)</f>
        <v>0</v>
      </c>
      <c r="N18" s="271">
        <f>VLOOKUP(A18,HN!A:T,20,FALSE)</f>
        <v>0</v>
      </c>
      <c r="O18" s="271">
        <f>VLOOKUP(A18,EY!A:O,15,FALSE)</f>
        <v>0</v>
      </c>
      <c r="P18" s="271">
        <f>-VLOOKUP(A18,Adjustments!A:M,11,FALSE)</f>
        <v>-24312.75</v>
      </c>
      <c r="Q18" s="273"/>
      <c r="R18" s="273"/>
      <c r="S18" s="273">
        <f t="shared" si="1"/>
        <v>5660124.5834268285</v>
      </c>
      <c r="T18" s="37"/>
      <c r="U18" s="37">
        <v>471677.05</v>
      </c>
      <c r="V18" s="37">
        <v>471677.05</v>
      </c>
      <c r="W18" s="37">
        <v>471677.05</v>
      </c>
      <c r="X18" s="37">
        <v>471677.05</v>
      </c>
      <c r="Y18" s="37">
        <v>471677.05</v>
      </c>
      <c r="Z18" s="37">
        <f t="shared" si="2"/>
        <v>471677.05</v>
      </c>
      <c r="AA18" s="37">
        <f t="shared" si="0"/>
        <v>471677.05</v>
      </c>
      <c r="AB18" s="37">
        <f t="shared" si="0"/>
        <v>471677.05</v>
      </c>
      <c r="AC18" s="37">
        <f t="shared" si="0"/>
        <v>471677.05</v>
      </c>
      <c r="AD18" s="37">
        <f t="shared" si="0"/>
        <v>471677.05</v>
      </c>
      <c r="AE18" s="37">
        <f t="shared" si="0"/>
        <v>471677.05</v>
      </c>
      <c r="AF18" s="37">
        <f t="shared" si="3"/>
        <v>471677.03342682961</v>
      </c>
      <c r="AG18" s="37">
        <f t="shared" si="4"/>
        <v>5660124.5834268285</v>
      </c>
      <c r="AH18" s="37" t="b">
        <f t="shared" si="5"/>
        <v>1</v>
      </c>
      <c r="AI18" s="37"/>
      <c r="AJ18" s="37"/>
      <c r="AK18" s="37"/>
      <c r="AL18" s="37"/>
      <c r="AM18" s="37"/>
      <c r="AN18" s="37"/>
      <c r="AO18" s="37"/>
      <c r="AP18" s="207"/>
      <c r="AR18" s="37"/>
      <c r="AS18" s="37"/>
      <c r="AT18" s="37"/>
      <c r="AU18" s="37"/>
      <c r="AV18" s="37"/>
      <c r="AW18" s="37"/>
      <c r="AX18" s="37"/>
      <c r="AY18" s="37"/>
      <c r="AZ18" s="37"/>
      <c r="BA18" s="64"/>
    </row>
    <row r="19" spans="1:53">
      <c r="A19" s="231">
        <v>2312</v>
      </c>
      <c r="B19" s="4">
        <v>103332</v>
      </c>
      <c r="C19" s="4" t="s">
        <v>265</v>
      </c>
      <c r="D19" s="4" t="s">
        <v>266</v>
      </c>
      <c r="E19" s="213" t="s">
        <v>5</v>
      </c>
      <c r="F19" s="248" t="s">
        <v>229</v>
      </c>
      <c r="G19" s="37"/>
      <c r="H19" s="270">
        <f>_xlfn.IFNA(VLOOKUP(A19,ISB!$A$4:$BY$454,67,FALSE),0)</f>
        <v>2031768.47819725</v>
      </c>
      <c r="I19" s="270">
        <f>_xlfn.IFNA(VLOOKUP(A19,ISB!$A$4:$BY$454,72,FALSE),0)</f>
        <v>-10554.47</v>
      </c>
      <c r="J19" s="271">
        <f>-_xlfn.IFNA(VLOOKUP(A19,ISB!$A$4:$BY$454,76,FALSE),0)</f>
        <v>-30209.817599999998</v>
      </c>
      <c r="K19" s="271">
        <f>_xlfn.IFNA(VLOOKUP(A19,ISB!$A$4:$BY$454,77,FALSE),0)</f>
        <v>1991004.1905972501</v>
      </c>
      <c r="L19" s="271">
        <f>_xlfn.IFNA(VLOOKUP(A19,'Post 16'!A:AC,13,FALSE),0)+_xlfn.IFNA(VLOOKUP(A19,'Post 16'!A:AC,17,FALSE),0)+(_xlfn.IFNA(VLOOKUP(A19,'Post 16'!A:AC,28,FALSE),0))</f>
        <v>0</v>
      </c>
      <c r="M19" s="271">
        <f>VLOOKUP(A19,HN!A:P,16,FALSE)</f>
        <v>0</v>
      </c>
      <c r="N19" s="271">
        <f>VLOOKUP(A19,HN!A:T,20,FALSE)</f>
        <v>0</v>
      </c>
      <c r="O19" s="271">
        <f>VLOOKUP(A19,EY!A:O,15,FALSE)</f>
        <v>0</v>
      </c>
      <c r="P19" s="271">
        <f>-VLOOKUP(A19,Adjustments!A:M,11,FALSE)</f>
        <v>-9471</v>
      </c>
      <c r="Q19" s="273"/>
      <c r="R19" s="273"/>
      <c r="S19" s="273">
        <f t="shared" si="1"/>
        <v>1981533.1905972501</v>
      </c>
      <c r="T19" s="37"/>
      <c r="U19" s="37">
        <v>165127.76999999999</v>
      </c>
      <c r="V19" s="37">
        <v>165127.76999999999</v>
      </c>
      <c r="W19" s="37">
        <v>165127.76999999999</v>
      </c>
      <c r="X19" s="37">
        <v>165127.76</v>
      </c>
      <c r="Y19" s="37">
        <v>165127.76999999999</v>
      </c>
      <c r="Z19" s="37">
        <f t="shared" si="2"/>
        <v>165127.76</v>
      </c>
      <c r="AA19" s="37">
        <f t="shared" si="0"/>
        <v>165127.76</v>
      </c>
      <c r="AB19" s="37">
        <f t="shared" si="0"/>
        <v>165127.76</v>
      </c>
      <c r="AC19" s="37">
        <f t="shared" si="0"/>
        <v>165127.76</v>
      </c>
      <c r="AD19" s="37">
        <f t="shared" si="0"/>
        <v>165127.76</v>
      </c>
      <c r="AE19" s="37">
        <f t="shared" si="0"/>
        <v>165127.76</v>
      </c>
      <c r="AF19" s="37">
        <f t="shared" si="3"/>
        <v>165127.79059725022</v>
      </c>
      <c r="AG19" s="37">
        <f t="shared" si="4"/>
        <v>1981533.1905972501</v>
      </c>
      <c r="AH19" s="37" t="b">
        <f t="shared" si="5"/>
        <v>1</v>
      </c>
      <c r="AI19" s="37"/>
      <c r="AJ19" s="37"/>
      <c r="AK19" s="37"/>
      <c r="AL19" s="37"/>
      <c r="AM19" s="37"/>
      <c r="AN19" s="37"/>
      <c r="AO19" s="37"/>
      <c r="AP19" s="207"/>
      <c r="AR19" s="37"/>
      <c r="AS19" s="37"/>
      <c r="AT19" s="37"/>
      <c r="AU19" s="37"/>
      <c r="AV19" s="37"/>
      <c r="AW19" s="37"/>
      <c r="AX19" s="37"/>
      <c r="AY19" s="37"/>
      <c r="AZ19" s="37"/>
      <c r="BA19" s="64"/>
    </row>
    <row r="20" spans="1:53">
      <c r="A20" s="231">
        <v>7051</v>
      </c>
      <c r="B20" s="4">
        <v>103626</v>
      </c>
      <c r="C20" s="4" t="s">
        <v>268</v>
      </c>
      <c r="D20" s="4" t="s">
        <v>269</v>
      </c>
      <c r="E20" s="213" t="s">
        <v>1093</v>
      </c>
      <c r="F20" s="248" t="s">
        <v>229</v>
      </c>
      <c r="G20" s="37"/>
      <c r="H20" s="270">
        <f>_xlfn.IFNA(VLOOKUP(A20,ISB!$A$4:$BY$454,67,FALSE),0)</f>
        <v>0</v>
      </c>
      <c r="I20" s="270">
        <f>_xlfn.IFNA(VLOOKUP(A20,ISB!$A$4:$BY$454,72,FALSE),0)</f>
        <v>0</v>
      </c>
      <c r="J20" s="271">
        <f>-_xlfn.IFNA(VLOOKUP(A20,ISB!$A$4:$BY$454,76,FALSE),0)</f>
        <v>0</v>
      </c>
      <c r="K20" s="271">
        <f>_xlfn.IFNA(VLOOKUP(A20,ISB!$A$4:$BY$454,77,FALSE),0)</f>
        <v>0</v>
      </c>
      <c r="L20" s="271">
        <f>_xlfn.IFNA(VLOOKUP(A20,'Post 16'!A:AC,13,FALSE),0)+_xlfn.IFNA(VLOOKUP(A20,'Post 16'!A:AC,17,FALSE),0)+(_xlfn.IFNA(VLOOKUP(A20,'Post 16'!A:AC,28,FALSE),0))</f>
        <v>0</v>
      </c>
      <c r="M20" s="271">
        <f>VLOOKUP(A20,HN!A:P,16,FALSE)</f>
        <v>2621774.3292897204</v>
      </c>
      <c r="N20" s="271">
        <f>VLOOKUP(A20,HN!A:T,20,FALSE)</f>
        <v>0</v>
      </c>
      <c r="O20" s="271">
        <f>VLOOKUP(A20,EY!A:O,15,FALSE)</f>
        <v>0</v>
      </c>
      <c r="P20" s="271">
        <f>-VLOOKUP(A20,Adjustments!A:M,11,FALSE)</f>
        <v>-2775</v>
      </c>
      <c r="Q20" s="273"/>
      <c r="R20" s="273">
        <v>-8172.56</v>
      </c>
      <c r="S20" s="273">
        <f t="shared" si="1"/>
        <v>2610826.7692897203</v>
      </c>
      <c r="T20" s="37"/>
      <c r="U20" s="37">
        <v>214678.98</v>
      </c>
      <c r="V20" s="37">
        <v>214678.98</v>
      </c>
      <c r="W20" s="37">
        <v>214678.98</v>
      </c>
      <c r="X20" s="37">
        <v>218840.54</v>
      </c>
      <c r="Y20" s="37">
        <v>218840.54</v>
      </c>
      <c r="Z20" s="37">
        <f t="shared" si="2"/>
        <v>218444.11</v>
      </c>
      <c r="AA20" s="37">
        <f t="shared" si="0"/>
        <v>218444.11</v>
      </c>
      <c r="AB20" s="37">
        <f t="shared" si="0"/>
        <v>218444.11</v>
      </c>
      <c r="AC20" s="37">
        <f t="shared" si="0"/>
        <v>218444.11</v>
      </c>
      <c r="AD20" s="37">
        <f t="shared" si="0"/>
        <v>218444.11</v>
      </c>
      <c r="AE20" s="37">
        <f t="shared" si="0"/>
        <v>218444.11</v>
      </c>
      <c r="AF20" s="37">
        <f t="shared" si="3"/>
        <v>218444.0892897211</v>
      </c>
      <c r="AG20" s="37">
        <f t="shared" si="4"/>
        <v>2610826.7692897203</v>
      </c>
      <c r="AH20" s="37" t="b">
        <f t="shared" si="5"/>
        <v>1</v>
      </c>
      <c r="AI20" s="37"/>
      <c r="AJ20" s="37"/>
      <c r="AK20" s="37"/>
      <c r="AL20" s="37"/>
      <c r="AM20" s="37"/>
      <c r="AN20" s="37"/>
      <c r="AO20" s="37"/>
      <c r="AP20" s="207"/>
      <c r="AR20" s="37"/>
      <c r="AS20" s="37"/>
      <c r="AT20" s="37"/>
      <c r="AU20" s="37"/>
      <c r="AV20" s="37"/>
      <c r="AW20" s="37"/>
      <c r="AX20" s="37"/>
      <c r="AY20" s="37"/>
      <c r="AZ20" s="37"/>
      <c r="BA20" s="64"/>
    </row>
    <row r="21" spans="1:53">
      <c r="A21" s="231">
        <v>2251</v>
      </c>
      <c r="B21" s="4">
        <v>103298</v>
      </c>
      <c r="C21" s="4" t="s">
        <v>271</v>
      </c>
      <c r="D21" s="4" t="s">
        <v>272</v>
      </c>
      <c r="E21" s="213" t="s">
        <v>5</v>
      </c>
      <c r="F21" s="248" t="s">
        <v>229</v>
      </c>
      <c r="G21" s="37"/>
      <c r="H21" s="270">
        <f>_xlfn.IFNA(VLOOKUP(A21,ISB!$A$4:$BY$454,67,FALSE),0)</f>
        <v>1954020.6274000001</v>
      </c>
      <c r="I21" s="270">
        <f>_xlfn.IFNA(VLOOKUP(A21,ISB!$A$4:$BY$454,72,FALSE),0)</f>
        <v>-10529.4</v>
      </c>
      <c r="J21" s="271">
        <f>-_xlfn.IFNA(VLOOKUP(A21,ISB!$A$4:$BY$454,76,FALSE),0)</f>
        <v>-17820.627400000001</v>
      </c>
      <c r="K21" s="271">
        <f>_xlfn.IFNA(VLOOKUP(A21,ISB!$A$4:$BY$454,77,FALSE),0)</f>
        <v>1925670.6</v>
      </c>
      <c r="L21" s="271">
        <f>_xlfn.IFNA(VLOOKUP(A21,'Post 16'!A:AC,13,FALSE),0)+_xlfn.IFNA(VLOOKUP(A21,'Post 16'!A:AC,17,FALSE),0)+(_xlfn.IFNA(VLOOKUP(A21,'Post 16'!A:AC,28,FALSE),0))</f>
        <v>0</v>
      </c>
      <c r="M21" s="271">
        <f>VLOOKUP(A21,HN!A:P,16,FALSE)</f>
        <v>0</v>
      </c>
      <c r="N21" s="271">
        <f>VLOOKUP(A21,HN!A:T,20,FALSE)</f>
        <v>0</v>
      </c>
      <c r="O21" s="271">
        <f>VLOOKUP(A21,EY!A:O,15,FALSE)</f>
        <v>144339.4</v>
      </c>
      <c r="P21" s="271">
        <f>-VLOOKUP(A21,Adjustments!A:M,11,FALSE)</f>
        <v>-9471</v>
      </c>
      <c r="Q21" s="273">
        <v>-156852.21979964699</v>
      </c>
      <c r="R21" s="273"/>
      <c r="S21" s="273">
        <f t="shared" si="1"/>
        <v>1903686.7802003529</v>
      </c>
      <c r="T21" s="37"/>
      <c r="U21" s="37">
        <v>155913.47</v>
      </c>
      <c r="V21" s="37">
        <v>155913.47</v>
      </c>
      <c r="W21" s="37">
        <v>155913.47</v>
      </c>
      <c r="X21" s="37">
        <v>159549.6</v>
      </c>
      <c r="Y21" s="37">
        <v>159549.6</v>
      </c>
      <c r="Z21" s="37">
        <f t="shared" si="2"/>
        <v>159549.6</v>
      </c>
      <c r="AA21" s="37">
        <f t="shared" si="0"/>
        <v>159549.6</v>
      </c>
      <c r="AB21" s="37">
        <f t="shared" si="0"/>
        <v>159549.6</v>
      </c>
      <c r="AC21" s="37">
        <f t="shared" si="0"/>
        <v>159549.6</v>
      </c>
      <c r="AD21" s="37">
        <f t="shared" si="0"/>
        <v>159549.6</v>
      </c>
      <c r="AE21" s="37">
        <f t="shared" si="0"/>
        <v>159549.6</v>
      </c>
      <c r="AF21" s="37">
        <f t="shared" si="3"/>
        <v>159549.57020035246</v>
      </c>
      <c r="AG21" s="37">
        <f t="shared" si="4"/>
        <v>1903686.7802003529</v>
      </c>
      <c r="AH21" s="37" t="b">
        <f t="shared" si="5"/>
        <v>1</v>
      </c>
      <c r="AI21" s="37"/>
      <c r="AJ21" s="37"/>
      <c r="AK21" s="37"/>
      <c r="AL21" s="37"/>
      <c r="AM21" s="37"/>
      <c r="AN21" s="37"/>
      <c r="AO21" s="37"/>
      <c r="AP21" s="207"/>
      <c r="AR21" s="37"/>
      <c r="AS21" s="37"/>
      <c r="AT21" s="37"/>
      <c r="AU21" s="37"/>
      <c r="AV21" s="37"/>
      <c r="AW21" s="37"/>
      <c r="AX21" s="37"/>
      <c r="AY21" s="37"/>
      <c r="AZ21" s="37"/>
      <c r="BA21" s="64"/>
    </row>
    <row r="22" spans="1:53">
      <c r="A22" s="231">
        <v>3002</v>
      </c>
      <c r="B22" s="4">
        <v>103397</v>
      </c>
      <c r="C22" s="4" t="s">
        <v>274</v>
      </c>
      <c r="D22" s="4" t="s">
        <v>275</v>
      </c>
      <c r="E22" s="213" t="s">
        <v>5</v>
      </c>
      <c r="F22" s="248" t="s">
        <v>229</v>
      </c>
      <c r="G22" s="37"/>
      <c r="H22" s="270">
        <f>_xlfn.IFNA(VLOOKUP(A22,ISB!$A$4:$BY$454,67,FALSE),0)</f>
        <v>1267658.2413521095</v>
      </c>
      <c r="I22" s="270">
        <f>_xlfn.IFNA(VLOOKUP(A22,ISB!$A$4:$BY$454,72,FALSE),0)</f>
        <v>-5089.21</v>
      </c>
      <c r="J22" s="271">
        <f>-_xlfn.IFNA(VLOOKUP(A22,ISB!$A$4:$BY$454,76,FALSE),0)</f>
        <v>-20015.9179</v>
      </c>
      <c r="K22" s="271">
        <f>_xlfn.IFNA(VLOOKUP(A22,ISB!$A$4:$BY$454,77,FALSE),0)</f>
        <v>1242553.1134521095</v>
      </c>
      <c r="L22" s="271">
        <f>_xlfn.IFNA(VLOOKUP(A22,'Post 16'!A:AC,13,FALSE),0)+_xlfn.IFNA(VLOOKUP(A22,'Post 16'!A:AC,17,FALSE),0)+(_xlfn.IFNA(VLOOKUP(A22,'Post 16'!A:AC,28,FALSE),0))</f>
        <v>0</v>
      </c>
      <c r="M22" s="271">
        <f>VLOOKUP(A22,HN!A:P,16,FALSE)</f>
        <v>0</v>
      </c>
      <c r="N22" s="271">
        <f>VLOOKUP(A22,HN!A:T,20,FALSE)</f>
        <v>0</v>
      </c>
      <c r="O22" s="271">
        <f>VLOOKUP(A22,EY!A:O,15,FALSE)</f>
        <v>75710.139999999985</v>
      </c>
      <c r="P22" s="271">
        <f>-VLOOKUP(A22,Adjustments!A:M,11,FALSE)</f>
        <v>-5139.75</v>
      </c>
      <c r="Q22" s="273"/>
      <c r="R22" s="273"/>
      <c r="S22" s="273">
        <f t="shared" si="1"/>
        <v>1313123.5034521094</v>
      </c>
      <c r="T22" s="37"/>
      <c r="U22" s="37">
        <v>109254.8</v>
      </c>
      <c r="V22" s="37">
        <v>109254.8</v>
      </c>
      <c r="W22" s="37">
        <v>109254.8</v>
      </c>
      <c r="X22" s="37">
        <v>109484.34</v>
      </c>
      <c r="Y22" s="37">
        <v>109484.35</v>
      </c>
      <c r="Z22" s="37">
        <f t="shared" si="2"/>
        <v>109484.34</v>
      </c>
      <c r="AA22" s="37">
        <f t="shared" si="0"/>
        <v>109484.34</v>
      </c>
      <c r="AB22" s="37">
        <f t="shared" si="0"/>
        <v>109484.34</v>
      </c>
      <c r="AC22" s="37">
        <f t="shared" si="0"/>
        <v>109484.34</v>
      </c>
      <c r="AD22" s="37">
        <f t="shared" si="0"/>
        <v>109484.34</v>
      </c>
      <c r="AE22" s="37">
        <f t="shared" si="0"/>
        <v>109484.34</v>
      </c>
      <c r="AF22" s="37">
        <f t="shared" si="3"/>
        <v>109484.37345210952</v>
      </c>
      <c r="AG22" s="37">
        <f t="shared" si="4"/>
        <v>1313123.5034521094</v>
      </c>
      <c r="AH22" s="37" t="b">
        <f t="shared" si="5"/>
        <v>1</v>
      </c>
      <c r="AI22" s="37"/>
      <c r="AJ22" s="37"/>
      <c r="AK22" s="37"/>
      <c r="AL22" s="37"/>
      <c r="AM22" s="37"/>
      <c r="AN22" s="37"/>
      <c r="AO22" s="37"/>
      <c r="AP22" s="207"/>
      <c r="AR22" s="37"/>
      <c r="AS22" s="37"/>
      <c r="AT22" s="37"/>
      <c r="AU22" s="37"/>
      <c r="AV22" s="37"/>
      <c r="AW22" s="37"/>
      <c r="AX22" s="37"/>
      <c r="AY22" s="37"/>
      <c r="AZ22" s="37"/>
      <c r="BA22" s="64"/>
    </row>
    <row r="23" spans="1:53">
      <c r="A23" s="231">
        <v>3319</v>
      </c>
      <c r="B23" s="4">
        <v>103423</v>
      </c>
      <c r="C23" s="4" t="s">
        <v>277</v>
      </c>
      <c r="D23" s="4" t="s">
        <v>278</v>
      </c>
      <c r="E23" s="213" t="s">
        <v>5</v>
      </c>
      <c r="F23" s="248" t="s">
        <v>229</v>
      </c>
      <c r="G23" s="37"/>
      <c r="H23" s="270">
        <f>_xlfn.IFNA(VLOOKUP(A23,ISB!$A$4:$BY$454,67,FALSE),0)</f>
        <v>1894407.9803304994</v>
      </c>
      <c r="I23" s="270">
        <f>_xlfn.IFNA(VLOOKUP(A23,ISB!$A$4:$BY$454,72,FALSE),0)</f>
        <v>-8724.36</v>
      </c>
      <c r="J23" s="271">
        <f>-_xlfn.IFNA(VLOOKUP(A23,ISB!$A$4:$BY$454,76,FALSE),0)</f>
        <v>-5273.4660999999996</v>
      </c>
      <c r="K23" s="271">
        <f>_xlfn.IFNA(VLOOKUP(A23,ISB!$A$4:$BY$454,77,FALSE),0)</f>
        <v>1880410.1542304992</v>
      </c>
      <c r="L23" s="271">
        <f>_xlfn.IFNA(VLOOKUP(A23,'Post 16'!A:AC,13,FALSE),0)+_xlfn.IFNA(VLOOKUP(A23,'Post 16'!A:AC,17,FALSE),0)+(_xlfn.IFNA(VLOOKUP(A23,'Post 16'!A:AC,28,FALSE),0))</f>
        <v>0</v>
      </c>
      <c r="M23" s="271">
        <f>VLOOKUP(A23,HN!A:P,16,FALSE)</f>
        <v>0</v>
      </c>
      <c r="N23" s="271">
        <f>VLOOKUP(A23,HN!A:T,20,FALSE)</f>
        <v>0</v>
      </c>
      <c r="O23" s="271">
        <f>VLOOKUP(A23,EY!A:O,15,FALSE)</f>
        <v>149627.69999999998</v>
      </c>
      <c r="P23" s="271">
        <f>-VLOOKUP(A23,Adjustments!A:M,11,FALSE)</f>
        <v>-9471</v>
      </c>
      <c r="Q23" s="273"/>
      <c r="R23" s="273"/>
      <c r="S23" s="273">
        <f t="shared" si="1"/>
        <v>2020566.8542304991</v>
      </c>
      <c r="T23" s="37"/>
      <c r="U23" s="37">
        <v>167341.45000000001</v>
      </c>
      <c r="V23" s="37">
        <v>167341.45000000001</v>
      </c>
      <c r="W23" s="37">
        <v>167341.45000000001</v>
      </c>
      <c r="X23" s="37">
        <v>168726.94</v>
      </c>
      <c r="Y23" s="37">
        <v>168726.95</v>
      </c>
      <c r="Z23" s="37">
        <f t="shared" si="2"/>
        <v>168726.94</v>
      </c>
      <c r="AA23" s="37">
        <f t="shared" si="0"/>
        <v>168726.94</v>
      </c>
      <c r="AB23" s="37">
        <f t="shared" si="0"/>
        <v>168726.94</v>
      </c>
      <c r="AC23" s="37">
        <f t="shared" si="0"/>
        <v>168726.94</v>
      </c>
      <c r="AD23" s="37">
        <f t="shared" si="0"/>
        <v>168726.94</v>
      </c>
      <c r="AE23" s="37">
        <f t="shared" si="0"/>
        <v>168726.94</v>
      </c>
      <c r="AF23" s="37">
        <f t="shared" si="3"/>
        <v>168726.97423049947</v>
      </c>
      <c r="AG23" s="37">
        <f t="shared" si="4"/>
        <v>2020566.8542304991</v>
      </c>
      <c r="AH23" s="37" t="b">
        <f t="shared" si="5"/>
        <v>1</v>
      </c>
      <c r="AI23" s="37"/>
      <c r="AJ23" s="37"/>
      <c r="AK23" s="37"/>
      <c r="AL23" s="37"/>
      <c r="AM23" s="37"/>
      <c r="AN23" s="37"/>
      <c r="AO23" s="37"/>
      <c r="AP23" s="207"/>
      <c r="AR23" s="37"/>
      <c r="AS23" s="37"/>
      <c r="AT23" s="37"/>
      <c r="AU23" s="37"/>
      <c r="AV23" s="37"/>
      <c r="AW23" s="37"/>
      <c r="AX23" s="37"/>
      <c r="AY23" s="37"/>
      <c r="AZ23" s="37"/>
      <c r="BA23" s="64"/>
    </row>
    <row r="24" spans="1:53">
      <c r="A24" s="231">
        <v>5416</v>
      </c>
      <c r="B24" s="4">
        <v>103563</v>
      </c>
      <c r="C24" s="4" t="s">
        <v>280</v>
      </c>
      <c r="D24" s="4" t="s">
        <v>281</v>
      </c>
      <c r="E24" s="213" t="s">
        <v>6</v>
      </c>
      <c r="F24" s="248" t="s">
        <v>229</v>
      </c>
      <c r="G24" s="37"/>
      <c r="H24" s="270">
        <f>_xlfn.IFNA(VLOOKUP(A24,ISB!$A$4:$BY$454,67,FALSE),0)</f>
        <v>8730971.1151703652</v>
      </c>
      <c r="I24" s="270">
        <f>_xlfn.IFNA(VLOOKUP(A24,ISB!$A$4:$BY$454,72,FALSE),0)</f>
        <v>-22968.45</v>
      </c>
      <c r="J24" s="271">
        <f>-_xlfn.IFNA(VLOOKUP(A24,ISB!$A$4:$BY$454,76,FALSE),0)</f>
        <v>-8691.9434000000001</v>
      </c>
      <c r="K24" s="271">
        <f>_xlfn.IFNA(VLOOKUP(A24,ISB!$A$4:$BY$454,77,FALSE),0)</f>
        <v>8699310.7217703667</v>
      </c>
      <c r="L24" s="271">
        <f>_xlfn.IFNA(VLOOKUP(A24,'Post 16'!A:AC,13,FALSE),0)+_xlfn.IFNA(VLOOKUP(A24,'Post 16'!A:AC,17,FALSE),0)+(_xlfn.IFNA(VLOOKUP(A24,'Post 16'!A:AC,28,FALSE),0))</f>
        <v>368317.66666666663</v>
      </c>
      <c r="M24" s="271">
        <f>VLOOKUP(A24,HN!A:P,16,FALSE)</f>
        <v>0</v>
      </c>
      <c r="N24" s="271">
        <f>VLOOKUP(A24,HN!A:T,20,FALSE)</f>
        <v>0</v>
      </c>
      <c r="O24" s="271">
        <f>VLOOKUP(A24,EY!A:O,15,FALSE)</f>
        <v>0</v>
      </c>
      <c r="P24" s="271">
        <f>-VLOOKUP(A24,Adjustments!A:M,11,FALSE)</f>
        <v>-31125.000000000004</v>
      </c>
      <c r="Q24" s="273"/>
      <c r="R24" s="273"/>
      <c r="S24" s="273">
        <f t="shared" si="1"/>
        <v>9036503.3884370327</v>
      </c>
      <c r="T24" s="37"/>
      <c r="U24" s="37">
        <v>755635.7</v>
      </c>
      <c r="V24" s="37">
        <v>755635.7</v>
      </c>
      <c r="W24" s="37">
        <v>755635.7</v>
      </c>
      <c r="X24" s="37">
        <v>755635.7</v>
      </c>
      <c r="Y24" s="37">
        <v>755635.7</v>
      </c>
      <c r="Z24" s="37">
        <f t="shared" si="2"/>
        <v>751189.27</v>
      </c>
      <c r="AA24" s="37">
        <f t="shared" si="2"/>
        <v>751189.27</v>
      </c>
      <c r="AB24" s="37">
        <f t="shared" si="2"/>
        <v>751189.27</v>
      </c>
      <c r="AC24" s="37">
        <f t="shared" si="2"/>
        <v>751189.27</v>
      </c>
      <c r="AD24" s="37">
        <f t="shared" si="2"/>
        <v>751189.27</v>
      </c>
      <c r="AE24" s="37">
        <f t="shared" si="2"/>
        <v>751189.27</v>
      </c>
      <c r="AF24" s="37">
        <f t="shared" si="3"/>
        <v>751189.26843703538</v>
      </c>
      <c r="AG24" s="37">
        <f t="shared" si="4"/>
        <v>9036503.3884370327</v>
      </c>
      <c r="AH24" s="37" t="b">
        <f t="shared" si="5"/>
        <v>1</v>
      </c>
      <c r="AI24" s="37"/>
      <c r="AJ24" s="37"/>
      <c r="AK24" s="37"/>
      <c r="AL24" s="37"/>
      <c r="AM24" s="37"/>
      <c r="AN24" s="37"/>
      <c r="AO24" s="37"/>
      <c r="AP24" s="207"/>
      <c r="AR24" s="37"/>
      <c r="AS24" s="37"/>
      <c r="AT24" s="37"/>
      <c r="AU24" s="37"/>
      <c r="AV24" s="37"/>
      <c r="AW24" s="37"/>
      <c r="AX24" s="37"/>
      <c r="AY24" s="37"/>
      <c r="AZ24" s="37"/>
      <c r="BA24" s="64"/>
    </row>
    <row r="25" spans="1:53">
      <c r="A25" s="231">
        <v>2054</v>
      </c>
      <c r="B25" s="4">
        <v>103189</v>
      </c>
      <c r="C25" s="4" t="s">
        <v>283</v>
      </c>
      <c r="D25" s="4" t="s">
        <v>284</v>
      </c>
      <c r="E25" s="213" t="s">
        <v>5</v>
      </c>
      <c r="F25" s="248" t="s">
        <v>229</v>
      </c>
      <c r="G25" s="37"/>
      <c r="H25" s="270">
        <f>_xlfn.IFNA(VLOOKUP(A25,ISB!$A$4:$BY$454,67,FALSE),0)</f>
        <v>1768745.3261476252</v>
      </c>
      <c r="I25" s="270">
        <f>_xlfn.IFNA(VLOOKUP(A25,ISB!$A$4:$BY$454,72,FALSE),0)</f>
        <v>-9000.1299999999992</v>
      </c>
      <c r="J25" s="271">
        <f>-_xlfn.IFNA(VLOOKUP(A25,ISB!$A$4:$BY$454,76,FALSE),0)</f>
        <v>-14233.0653</v>
      </c>
      <c r="K25" s="271">
        <f>_xlfn.IFNA(VLOOKUP(A25,ISB!$A$4:$BY$454,77,FALSE),0)</f>
        <v>1745512.1308476254</v>
      </c>
      <c r="L25" s="271">
        <f>_xlfn.IFNA(VLOOKUP(A25,'Post 16'!A:AC,13,FALSE),0)+_xlfn.IFNA(VLOOKUP(A25,'Post 16'!A:AC,17,FALSE),0)+(_xlfn.IFNA(VLOOKUP(A25,'Post 16'!A:AC,28,FALSE),0))</f>
        <v>0</v>
      </c>
      <c r="M25" s="271">
        <f>VLOOKUP(A25,HN!A:P,16,FALSE)</f>
        <v>0</v>
      </c>
      <c r="N25" s="271">
        <f>VLOOKUP(A25,HN!A:T,20,FALSE)</f>
        <v>0</v>
      </c>
      <c r="O25" s="271">
        <f>VLOOKUP(A25,EY!A:O,15,FALSE)</f>
        <v>160433.5</v>
      </c>
      <c r="P25" s="271">
        <f>-VLOOKUP(A25,Adjustments!A:M,11,FALSE)</f>
        <v>-9471</v>
      </c>
      <c r="Q25" s="273"/>
      <c r="R25" s="273"/>
      <c r="S25" s="273">
        <f t="shared" si="1"/>
        <v>1896474.6308476254</v>
      </c>
      <c r="T25" s="37"/>
      <c r="U25" s="37">
        <v>156575.32</v>
      </c>
      <c r="V25" s="37">
        <v>156575.32</v>
      </c>
      <c r="W25" s="37">
        <v>156575.32</v>
      </c>
      <c r="X25" s="37">
        <v>158527.63</v>
      </c>
      <c r="Y25" s="37">
        <v>158527.63</v>
      </c>
      <c r="Z25" s="37">
        <f t="shared" si="2"/>
        <v>158527.63</v>
      </c>
      <c r="AA25" s="37">
        <f t="shared" si="2"/>
        <v>158527.63</v>
      </c>
      <c r="AB25" s="37">
        <f t="shared" si="2"/>
        <v>158527.63</v>
      </c>
      <c r="AC25" s="37">
        <f t="shared" si="2"/>
        <v>158527.63</v>
      </c>
      <c r="AD25" s="37">
        <f t="shared" si="2"/>
        <v>158527.63</v>
      </c>
      <c r="AE25" s="37">
        <f t="shared" si="2"/>
        <v>158527.63</v>
      </c>
      <c r="AF25" s="37">
        <f t="shared" si="3"/>
        <v>158527.6308476259</v>
      </c>
      <c r="AG25" s="37">
        <f t="shared" si="4"/>
        <v>1896474.6308476254</v>
      </c>
      <c r="AH25" s="37" t="b">
        <f t="shared" si="5"/>
        <v>1</v>
      </c>
      <c r="AI25" s="37"/>
      <c r="AJ25" s="37"/>
      <c r="AK25" s="37"/>
      <c r="AL25" s="37"/>
      <c r="AM25" s="37"/>
      <c r="AN25" s="37"/>
      <c r="AO25" s="37"/>
      <c r="AP25" s="207"/>
      <c r="AR25" s="37"/>
      <c r="AS25" s="37"/>
      <c r="AT25" s="37"/>
      <c r="AU25" s="37"/>
      <c r="AV25" s="37"/>
      <c r="AW25" s="37"/>
      <c r="AX25" s="37"/>
      <c r="AY25" s="37"/>
      <c r="AZ25" s="37"/>
      <c r="BA25" s="64"/>
    </row>
    <row r="26" spans="1:53">
      <c r="A26" s="231">
        <v>2053</v>
      </c>
      <c r="B26" s="4">
        <v>103188</v>
      </c>
      <c r="C26" s="4" t="s">
        <v>286</v>
      </c>
      <c r="D26" s="4" t="s">
        <v>287</v>
      </c>
      <c r="E26" s="213" t="s">
        <v>5</v>
      </c>
      <c r="F26" s="248" t="s">
        <v>229</v>
      </c>
      <c r="G26" s="37"/>
      <c r="H26" s="270">
        <f>_xlfn.IFNA(VLOOKUP(A26,ISB!$A$4:$BY$454,67,FALSE),0)</f>
        <v>2271264.4662519316</v>
      </c>
      <c r="I26" s="270">
        <f>_xlfn.IFNA(VLOOKUP(A26,ISB!$A$4:$BY$454,72,FALSE),0)</f>
        <v>-12008.53</v>
      </c>
      <c r="J26" s="271">
        <f>-_xlfn.IFNA(VLOOKUP(A26,ISB!$A$4:$BY$454,76,FALSE),0)</f>
        <v>-20481.7251</v>
      </c>
      <c r="K26" s="271">
        <f>_xlfn.IFNA(VLOOKUP(A26,ISB!$A$4:$BY$454,77,FALSE),0)</f>
        <v>2238774.2111519319</v>
      </c>
      <c r="L26" s="271">
        <f>_xlfn.IFNA(VLOOKUP(A26,'Post 16'!A:AC,13,FALSE),0)+_xlfn.IFNA(VLOOKUP(A26,'Post 16'!A:AC,17,FALSE),0)+(_xlfn.IFNA(VLOOKUP(A26,'Post 16'!A:AC,28,FALSE),0))</f>
        <v>0</v>
      </c>
      <c r="M26" s="271">
        <f>VLOOKUP(A26,HN!A:P,16,FALSE)</f>
        <v>0</v>
      </c>
      <c r="N26" s="271">
        <f>VLOOKUP(A26,HN!A:T,20,FALSE)</f>
        <v>0</v>
      </c>
      <c r="O26" s="271">
        <f>VLOOKUP(A26,EY!A:O,15,FALSE)</f>
        <v>0</v>
      </c>
      <c r="P26" s="271">
        <f>-VLOOKUP(A26,Adjustments!A:M,11,FALSE)</f>
        <v>-12566.4</v>
      </c>
      <c r="Q26" s="273"/>
      <c r="R26" s="273"/>
      <c r="S26" s="273">
        <f t="shared" si="1"/>
        <v>2226207.811151932</v>
      </c>
      <c r="T26" s="37"/>
      <c r="U26" s="37">
        <v>185517.32</v>
      </c>
      <c r="V26" s="37">
        <v>185517.32</v>
      </c>
      <c r="W26" s="37">
        <v>185517.32</v>
      </c>
      <c r="X26" s="37">
        <v>185517.32</v>
      </c>
      <c r="Y26" s="37">
        <v>185517.32</v>
      </c>
      <c r="Z26" s="37">
        <f t="shared" si="2"/>
        <v>185517.32</v>
      </c>
      <c r="AA26" s="37">
        <f t="shared" si="2"/>
        <v>185517.32</v>
      </c>
      <c r="AB26" s="37">
        <f t="shared" si="2"/>
        <v>185517.32</v>
      </c>
      <c r="AC26" s="37">
        <f t="shared" si="2"/>
        <v>185517.32</v>
      </c>
      <c r="AD26" s="37">
        <f t="shared" si="2"/>
        <v>185517.32</v>
      </c>
      <c r="AE26" s="37">
        <f t="shared" si="2"/>
        <v>185517.32</v>
      </c>
      <c r="AF26" s="37">
        <f t="shared" si="3"/>
        <v>185517.29115193151</v>
      </c>
      <c r="AG26" s="37">
        <f t="shared" si="4"/>
        <v>2226207.811151932</v>
      </c>
      <c r="AH26" s="37" t="b">
        <f t="shared" si="5"/>
        <v>1</v>
      </c>
      <c r="AI26" s="37"/>
      <c r="AJ26" s="37"/>
      <c r="AK26" s="37"/>
      <c r="AL26" s="37"/>
      <c r="AM26" s="37"/>
      <c r="AN26" s="37"/>
      <c r="AO26" s="37"/>
      <c r="AP26" s="207"/>
      <c r="AR26" s="37"/>
      <c r="AS26" s="37"/>
      <c r="AT26" s="37"/>
      <c r="AU26" s="37"/>
      <c r="AV26" s="37"/>
      <c r="AW26" s="37"/>
      <c r="AX26" s="37"/>
      <c r="AY26" s="37"/>
      <c r="AZ26" s="37"/>
      <c r="BA26" s="64"/>
    </row>
    <row r="27" spans="1:53">
      <c r="A27" s="231">
        <v>2055</v>
      </c>
      <c r="B27" s="4">
        <v>103190</v>
      </c>
      <c r="C27" s="4" t="s">
        <v>289</v>
      </c>
      <c r="D27" s="4" t="s">
        <v>290</v>
      </c>
      <c r="E27" s="213" t="s">
        <v>5</v>
      </c>
      <c r="F27" s="248" t="s">
        <v>229</v>
      </c>
      <c r="G27" s="37"/>
      <c r="H27" s="270">
        <f>_xlfn.IFNA(VLOOKUP(A27,ISB!$A$4:$BY$454,67,FALSE),0)</f>
        <v>2092850.2816280385</v>
      </c>
      <c r="I27" s="270">
        <f>_xlfn.IFNA(VLOOKUP(A27,ISB!$A$4:$BY$454,72,FALSE),0)</f>
        <v>-10504.33</v>
      </c>
      <c r="J27" s="271">
        <f>-_xlfn.IFNA(VLOOKUP(A27,ISB!$A$4:$BY$454,76,FALSE),0)</f>
        <v>-27824.831999999999</v>
      </c>
      <c r="K27" s="271">
        <f>_xlfn.IFNA(VLOOKUP(A27,ISB!$A$4:$BY$454,77,FALSE),0)</f>
        <v>2054521.1196280385</v>
      </c>
      <c r="L27" s="271">
        <f>_xlfn.IFNA(VLOOKUP(A27,'Post 16'!A:AC,13,FALSE),0)+_xlfn.IFNA(VLOOKUP(A27,'Post 16'!A:AC,17,FALSE),0)+(_xlfn.IFNA(VLOOKUP(A27,'Post 16'!A:AC,28,FALSE),0))</f>
        <v>0</v>
      </c>
      <c r="M27" s="271">
        <f>VLOOKUP(A27,HN!A:P,16,FALSE)</f>
        <v>0</v>
      </c>
      <c r="N27" s="271">
        <f>VLOOKUP(A27,HN!A:T,20,FALSE)</f>
        <v>0</v>
      </c>
      <c r="O27" s="271">
        <f>VLOOKUP(A27,EY!A:O,15,FALSE)</f>
        <v>134514.9</v>
      </c>
      <c r="P27" s="271">
        <f>-VLOOKUP(A27,Adjustments!A:M,11,FALSE)</f>
        <v>-11075</v>
      </c>
      <c r="Q27" s="273"/>
      <c r="R27" s="273"/>
      <c r="S27" s="273">
        <f t="shared" si="1"/>
        <v>2177961.0196280386</v>
      </c>
      <c r="T27" s="37"/>
      <c r="U27" s="37">
        <v>180118.99</v>
      </c>
      <c r="V27" s="37">
        <v>180118.99</v>
      </c>
      <c r="W27" s="37">
        <v>180118.99</v>
      </c>
      <c r="X27" s="37">
        <v>183186.56</v>
      </c>
      <c r="Y27" s="37">
        <v>183186.56</v>
      </c>
      <c r="Z27" s="37">
        <f t="shared" si="2"/>
        <v>181604.42</v>
      </c>
      <c r="AA27" s="37">
        <f t="shared" si="2"/>
        <v>181604.42</v>
      </c>
      <c r="AB27" s="37">
        <f t="shared" si="2"/>
        <v>181604.42</v>
      </c>
      <c r="AC27" s="37">
        <f t="shared" si="2"/>
        <v>181604.42</v>
      </c>
      <c r="AD27" s="37">
        <f t="shared" si="2"/>
        <v>181604.42</v>
      </c>
      <c r="AE27" s="37">
        <f t="shared" si="2"/>
        <v>181604.42</v>
      </c>
      <c r="AF27" s="37">
        <f t="shared" si="3"/>
        <v>181604.40962803899</v>
      </c>
      <c r="AG27" s="37">
        <f t="shared" si="4"/>
        <v>2177961.0196280386</v>
      </c>
      <c r="AH27" s="37" t="b">
        <f t="shared" si="5"/>
        <v>1</v>
      </c>
      <c r="AI27" s="37"/>
      <c r="AJ27" s="37"/>
      <c r="AK27" s="37"/>
      <c r="AL27" s="37"/>
      <c r="AM27" s="37"/>
      <c r="AN27" s="37"/>
      <c r="AO27" s="37"/>
      <c r="AP27" s="207"/>
      <c r="AR27" s="37"/>
      <c r="AS27" s="37"/>
      <c r="AT27" s="37"/>
      <c r="AU27" s="37"/>
      <c r="AV27" s="37"/>
      <c r="AW27" s="37"/>
      <c r="AX27" s="37"/>
      <c r="AY27" s="37"/>
      <c r="AZ27" s="37"/>
      <c r="BA27" s="64"/>
    </row>
    <row r="28" spans="1:53">
      <c r="A28" s="231">
        <v>2486</v>
      </c>
      <c r="B28" s="4">
        <v>133759</v>
      </c>
      <c r="C28" s="4" t="s">
        <v>292</v>
      </c>
      <c r="D28" s="4" t="s">
        <v>293</v>
      </c>
      <c r="E28" s="213" t="s">
        <v>5</v>
      </c>
      <c r="F28" s="248" t="s">
        <v>229</v>
      </c>
      <c r="G28" s="37"/>
      <c r="H28" s="270">
        <f>_xlfn.IFNA(VLOOKUP(A28,ISB!$A$4:$BY$454,67,FALSE),0)</f>
        <v>1312600.9590537073</v>
      </c>
      <c r="I28" s="270">
        <f>_xlfn.IFNA(VLOOKUP(A28,ISB!$A$4:$BY$454,72,FALSE),0)</f>
        <v>-4938.79</v>
      </c>
      <c r="J28" s="271">
        <f>-_xlfn.IFNA(VLOOKUP(A28,ISB!$A$4:$BY$454,76,FALSE),0)</f>
        <v>-14979.6608</v>
      </c>
      <c r="K28" s="271">
        <f>_xlfn.IFNA(VLOOKUP(A28,ISB!$A$4:$BY$454,77,FALSE),0)</f>
        <v>1292682.5082537073</v>
      </c>
      <c r="L28" s="271">
        <f>_xlfn.IFNA(VLOOKUP(A28,'Post 16'!A:AC,13,FALSE),0)+_xlfn.IFNA(VLOOKUP(A28,'Post 16'!A:AC,17,FALSE),0)+(_xlfn.IFNA(VLOOKUP(A28,'Post 16'!A:AC,28,FALSE),0))</f>
        <v>0</v>
      </c>
      <c r="M28" s="271">
        <f>VLOOKUP(A28,HN!A:P,16,FALSE)</f>
        <v>0</v>
      </c>
      <c r="N28" s="271">
        <f>VLOOKUP(A28,HN!A:T,20,FALSE)</f>
        <v>0</v>
      </c>
      <c r="O28" s="271">
        <f>VLOOKUP(A28,EY!A:O,15,FALSE)</f>
        <v>59254.400000000001</v>
      </c>
      <c r="P28" s="271">
        <f>-VLOOKUP(A28,Adjustments!A:M,11,FALSE)</f>
        <v>-4925</v>
      </c>
      <c r="Q28" s="273"/>
      <c r="R28" s="273"/>
      <c r="S28" s="273">
        <f t="shared" si="1"/>
        <v>1347011.9082537072</v>
      </c>
      <c r="T28" s="37"/>
      <c r="U28" s="37">
        <v>112783.3</v>
      </c>
      <c r="V28" s="37">
        <v>112783.3</v>
      </c>
      <c r="W28" s="37">
        <v>112783.3</v>
      </c>
      <c r="X28" s="37">
        <v>112620.78</v>
      </c>
      <c r="Y28" s="37">
        <v>112620.78</v>
      </c>
      <c r="Z28" s="37">
        <f t="shared" si="2"/>
        <v>111917.21</v>
      </c>
      <c r="AA28" s="37">
        <f t="shared" si="2"/>
        <v>111917.21</v>
      </c>
      <c r="AB28" s="37">
        <f t="shared" si="2"/>
        <v>111917.21</v>
      </c>
      <c r="AC28" s="37">
        <f t="shared" si="2"/>
        <v>111917.21</v>
      </c>
      <c r="AD28" s="37">
        <f t="shared" si="2"/>
        <v>111917.21</v>
      </c>
      <c r="AE28" s="37">
        <f t="shared" si="2"/>
        <v>111917.21</v>
      </c>
      <c r="AF28" s="37">
        <f t="shared" si="3"/>
        <v>111917.18825370725</v>
      </c>
      <c r="AG28" s="37">
        <f t="shared" si="4"/>
        <v>1347011.9082537072</v>
      </c>
      <c r="AH28" s="37" t="b">
        <f t="shared" si="5"/>
        <v>1</v>
      </c>
      <c r="AI28" s="37"/>
      <c r="AJ28" s="37"/>
      <c r="AK28" s="37"/>
      <c r="AL28" s="37"/>
      <c r="AM28" s="37"/>
      <c r="AN28" s="37"/>
      <c r="AO28" s="37"/>
      <c r="AP28" s="207"/>
      <c r="AR28" s="37"/>
      <c r="AS28" s="37"/>
      <c r="AT28" s="37"/>
      <c r="AU28" s="37"/>
      <c r="AV28" s="37"/>
      <c r="AW28" s="37"/>
      <c r="AX28" s="37"/>
      <c r="AY28" s="37"/>
      <c r="AZ28" s="37"/>
      <c r="BA28" s="64"/>
    </row>
    <row r="29" spans="1:53">
      <c r="A29" s="231">
        <v>2296</v>
      </c>
      <c r="B29" s="4">
        <v>103320</v>
      </c>
      <c r="C29" s="4" t="s">
        <v>295</v>
      </c>
      <c r="D29" s="4" t="s">
        <v>297</v>
      </c>
      <c r="E29" s="213" t="s">
        <v>5</v>
      </c>
      <c r="F29" s="248" t="s">
        <v>296</v>
      </c>
      <c r="G29" s="37"/>
      <c r="H29" s="270">
        <f>_xlfn.IFNA(VLOOKUP(A29,ISB!$A$4:$BY$454,67,FALSE),0)</f>
        <v>1514216.7525195901</v>
      </c>
      <c r="I29" s="270">
        <f>_xlfn.IFNA(VLOOKUP(A29,ISB!$A$4:$BY$454,72,FALSE),0)</f>
        <v>-7094.81</v>
      </c>
      <c r="J29" s="271">
        <f>-_xlfn.IFNA(VLOOKUP(A29,ISB!$A$4:$BY$454,76,FALSE),0)</f>
        <v>-31269.8112</v>
      </c>
      <c r="K29" s="271">
        <f>_xlfn.IFNA(VLOOKUP(A29,ISB!$A$4:$BY$454,77,FALSE),0)</f>
        <v>1475852.1313195899</v>
      </c>
      <c r="L29" s="271">
        <f>_xlfn.IFNA(VLOOKUP(A29,'Post 16'!A:AC,13,FALSE),0)+_xlfn.IFNA(VLOOKUP(A29,'Post 16'!A:AC,17,FALSE),0)+(_xlfn.IFNA(VLOOKUP(A29,'Post 16'!A:AC,28,FALSE),0))</f>
        <v>0</v>
      </c>
      <c r="M29" s="271">
        <f>VLOOKUP(A29,HN!A:P,16,FALSE)</f>
        <v>0</v>
      </c>
      <c r="N29" s="271">
        <f>VLOOKUP(A29,HN!A:T,20,FALSE)</f>
        <v>0</v>
      </c>
      <c r="O29" s="271">
        <f>VLOOKUP(A29,EY!A:O,15,FALSE)</f>
        <v>0</v>
      </c>
      <c r="P29" s="271">
        <f>-VLOOKUP(A29,Adjustments!A:M,11,FALSE)</f>
        <v>-5139.75</v>
      </c>
      <c r="Q29" s="273"/>
      <c r="R29" s="273"/>
      <c r="S29" s="273">
        <f t="shared" si="1"/>
        <v>1470712.3813195899</v>
      </c>
      <c r="T29" s="37"/>
      <c r="U29" s="37">
        <v>122559.37</v>
      </c>
      <c r="V29" s="37">
        <v>122559.37</v>
      </c>
      <c r="W29" s="37">
        <v>122559.37</v>
      </c>
      <c r="X29" s="37">
        <v>122559.36</v>
      </c>
      <c r="Y29" s="37">
        <v>122559.36</v>
      </c>
      <c r="Z29" s="37">
        <f t="shared" si="2"/>
        <v>122559.36</v>
      </c>
      <c r="AA29" s="37">
        <f t="shared" si="2"/>
        <v>122559.36</v>
      </c>
      <c r="AB29" s="37">
        <f t="shared" si="2"/>
        <v>122559.36</v>
      </c>
      <c r="AC29" s="37">
        <f t="shared" si="2"/>
        <v>122559.36</v>
      </c>
      <c r="AD29" s="37">
        <f t="shared" si="2"/>
        <v>122559.36</v>
      </c>
      <c r="AE29" s="37">
        <f t="shared" si="2"/>
        <v>122559.36</v>
      </c>
      <c r="AF29" s="37">
        <f t="shared" si="3"/>
        <v>122559.39131958969</v>
      </c>
      <c r="AG29" s="37">
        <f t="shared" si="4"/>
        <v>1470712.3813195899</v>
      </c>
      <c r="AH29" s="37" t="b">
        <f t="shared" si="5"/>
        <v>1</v>
      </c>
      <c r="AI29" s="37"/>
      <c r="AJ29" s="37"/>
      <c r="AK29" s="37"/>
      <c r="AL29" s="37"/>
      <c r="AM29" s="37"/>
      <c r="AN29" s="37"/>
      <c r="AO29" s="37"/>
      <c r="AP29" s="207"/>
      <c r="AR29" s="37"/>
      <c r="AS29" s="37"/>
      <c r="AT29" s="37"/>
      <c r="AU29" s="37"/>
      <c r="AV29" s="37"/>
      <c r="AW29" s="37"/>
      <c r="AX29" s="37"/>
      <c r="AY29" s="37"/>
      <c r="AZ29" s="37"/>
      <c r="BA29" s="64"/>
    </row>
    <row r="30" spans="1:53">
      <c r="A30" s="231">
        <v>2092</v>
      </c>
      <c r="B30" s="4">
        <v>103209</v>
      </c>
      <c r="C30" s="4" t="s">
        <v>299</v>
      </c>
      <c r="D30" s="4" t="s">
        <v>300</v>
      </c>
      <c r="E30" s="213" t="s">
        <v>5</v>
      </c>
      <c r="F30" s="248" t="s">
        <v>229</v>
      </c>
      <c r="G30" s="37"/>
      <c r="H30" s="270">
        <f>_xlfn.IFNA(VLOOKUP(A30,ISB!$A$4:$BY$454,67,FALSE),0)</f>
        <v>2303314.850789384</v>
      </c>
      <c r="I30" s="270">
        <f>_xlfn.IFNA(VLOOKUP(A30,ISB!$A$4:$BY$454,72,FALSE),0)</f>
        <v>-12133.880000000001</v>
      </c>
      <c r="J30" s="271">
        <f>-_xlfn.IFNA(VLOOKUP(A30,ISB!$A$4:$BY$454,76,FALSE),0)</f>
        <v>-27754.627199999999</v>
      </c>
      <c r="K30" s="271">
        <f>_xlfn.IFNA(VLOOKUP(A30,ISB!$A$4:$BY$454,77,FALSE),0)</f>
        <v>2263426.3435893841</v>
      </c>
      <c r="L30" s="271">
        <f>_xlfn.IFNA(VLOOKUP(A30,'Post 16'!A:AC,13,FALSE),0)+_xlfn.IFNA(VLOOKUP(A30,'Post 16'!A:AC,17,FALSE),0)+(_xlfn.IFNA(VLOOKUP(A30,'Post 16'!A:AC,28,FALSE),0))</f>
        <v>0</v>
      </c>
      <c r="M30" s="271">
        <f>VLOOKUP(A30,HN!A:P,16,FALSE)</f>
        <v>0</v>
      </c>
      <c r="N30" s="271">
        <f>VLOOKUP(A30,HN!A:T,20,FALSE)</f>
        <v>0</v>
      </c>
      <c r="O30" s="271">
        <f>VLOOKUP(A30,EY!A:O,15,FALSE)</f>
        <v>0</v>
      </c>
      <c r="P30" s="271">
        <f>-VLOOKUP(A30,Adjustments!A:M,11,FALSE)</f>
        <v>-12100.000000000002</v>
      </c>
      <c r="Q30" s="273"/>
      <c r="R30" s="273"/>
      <c r="S30" s="273">
        <f t="shared" si="1"/>
        <v>2251326.3435893841</v>
      </c>
      <c r="T30" s="37"/>
      <c r="U30" s="37">
        <v>188618.86</v>
      </c>
      <c r="V30" s="37">
        <v>188618.86</v>
      </c>
      <c r="W30" s="37">
        <v>188618.86</v>
      </c>
      <c r="X30" s="37">
        <v>188618.86</v>
      </c>
      <c r="Y30" s="37">
        <v>188618.86</v>
      </c>
      <c r="Z30" s="37">
        <f t="shared" si="2"/>
        <v>186890.29</v>
      </c>
      <c r="AA30" s="37">
        <f t="shared" si="2"/>
        <v>186890.29</v>
      </c>
      <c r="AB30" s="37">
        <f t="shared" si="2"/>
        <v>186890.29</v>
      </c>
      <c r="AC30" s="37">
        <f t="shared" si="2"/>
        <v>186890.29</v>
      </c>
      <c r="AD30" s="37">
        <f t="shared" si="2"/>
        <v>186890.29</v>
      </c>
      <c r="AE30" s="37">
        <f t="shared" si="2"/>
        <v>186890.29</v>
      </c>
      <c r="AF30" s="37">
        <f t="shared" si="3"/>
        <v>186890.30358938407</v>
      </c>
      <c r="AG30" s="37">
        <f t="shared" si="4"/>
        <v>2251326.3435893841</v>
      </c>
      <c r="AH30" s="37" t="b">
        <f t="shared" si="5"/>
        <v>1</v>
      </c>
      <c r="AI30" s="37"/>
      <c r="AJ30" s="37"/>
      <c r="AK30" s="37"/>
      <c r="AL30" s="37"/>
      <c r="AM30" s="37"/>
      <c r="AN30" s="37"/>
      <c r="AO30" s="37"/>
      <c r="AP30" s="207"/>
      <c r="AR30" s="37"/>
      <c r="AS30" s="37"/>
      <c r="AT30" s="37"/>
      <c r="AU30" s="37"/>
      <c r="AV30" s="37"/>
      <c r="AW30" s="37"/>
      <c r="AX30" s="37"/>
      <c r="AY30" s="37"/>
      <c r="AZ30" s="37"/>
      <c r="BA30" s="64"/>
    </row>
    <row r="31" spans="1:53">
      <c r="A31" s="231">
        <v>4201</v>
      </c>
      <c r="B31" s="4">
        <v>103503</v>
      </c>
      <c r="C31" s="4" t="s">
        <v>302</v>
      </c>
      <c r="D31" s="4" t="s">
        <v>303</v>
      </c>
      <c r="E31" s="213" t="s">
        <v>6</v>
      </c>
      <c r="F31" s="248" t="s">
        <v>229</v>
      </c>
      <c r="G31" s="37"/>
      <c r="H31" s="270">
        <f>_xlfn.IFNA(VLOOKUP(A31,ISB!$A$4:$BY$454,67,FALSE),0)</f>
        <v>8958371.8597309738</v>
      </c>
      <c r="I31" s="270">
        <f>_xlfn.IFNA(VLOOKUP(A31,ISB!$A$4:$BY$454,72,FALSE),0)</f>
        <v>-23529.600000000002</v>
      </c>
      <c r="J31" s="271">
        <f>-_xlfn.IFNA(VLOOKUP(A31,ISB!$A$4:$BY$454,76,FALSE),0)</f>
        <v>-176330.39679999999</v>
      </c>
      <c r="K31" s="271">
        <f>_xlfn.IFNA(VLOOKUP(A31,ISB!$A$4:$BY$454,77,FALSE),0)</f>
        <v>8758511.862930974</v>
      </c>
      <c r="L31" s="271">
        <f>_xlfn.IFNA(VLOOKUP(A31,'Post 16'!A:AC,13,FALSE),0)+_xlfn.IFNA(VLOOKUP(A31,'Post 16'!A:AC,17,FALSE),0)+(_xlfn.IFNA(VLOOKUP(A31,'Post 16'!A:AC,28,FALSE),0))</f>
        <v>0</v>
      </c>
      <c r="M31" s="271">
        <f>VLOOKUP(A31,HN!A:P,16,FALSE)</f>
        <v>0</v>
      </c>
      <c r="N31" s="271">
        <f>VLOOKUP(A31,HN!A:T,20,FALSE)</f>
        <v>0</v>
      </c>
      <c r="O31" s="271">
        <f>VLOOKUP(A31,EY!A:O,15,FALSE)</f>
        <v>0</v>
      </c>
      <c r="P31" s="271">
        <f>-VLOOKUP(A31,Adjustments!A:M,11,FALSE)</f>
        <v>-30400.000000000004</v>
      </c>
      <c r="Q31" s="273"/>
      <c r="R31" s="273"/>
      <c r="S31" s="273">
        <f t="shared" si="1"/>
        <v>8728111.862930974</v>
      </c>
      <c r="T31" s="37"/>
      <c r="U31" s="37">
        <v>729875.99</v>
      </c>
      <c r="V31" s="37">
        <v>729875.99</v>
      </c>
      <c r="W31" s="37">
        <v>729875.99</v>
      </c>
      <c r="X31" s="37">
        <v>729875.99</v>
      </c>
      <c r="Y31" s="37">
        <v>729875.99</v>
      </c>
      <c r="Z31" s="37">
        <f t="shared" si="2"/>
        <v>725533.13</v>
      </c>
      <c r="AA31" s="37">
        <f t="shared" si="2"/>
        <v>725533.13</v>
      </c>
      <c r="AB31" s="37">
        <f t="shared" si="2"/>
        <v>725533.13</v>
      </c>
      <c r="AC31" s="37">
        <f t="shared" si="2"/>
        <v>725533.13</v>
      </c>
      <c r="AD31" s="37">
        <f t="shared" si="2"/>
        <v>725533.13</v>
      </c>
      <c r="AE31" s="37">
        <f t="shared" si="2"/>
        <v>725533.13</v>
      </c>
      <c r="AF31" s="37">
        <f t="shared" si="3"/>
        <v>725533.13293097448</v>
      </c>
      <c r="AG31" s="37">
        <f t="shared" si="4"/>
        <v>8728111.862930974</v>
      </c>
      <c r="AH31" s="37" t="b">
        <f t="shared" si="5"/>
        <v>1</v>
      </c>
      <c r="AI31" s="37"/>
      <c r="AJ31" s="37"/>
      <c r="AK31" s="37"/>
      <c r="AL31" s="37"/>
      <c r="AM31" s="37"/>
      <c r="AN31" s="37"/>
      <c r="AO31" s="37"/>
      <c r="AP31" s="207"/>
      <c r="AR31" s="37"/>
      <c r="AS31" s="37"/>
      <c r="AT31" s="37"/>
      <c r="AU31" s="37"/>
      <c r="AV31" s="37"/>
      <c r="AW31" s="37"/>
      <c r="AX31" s="37"/>
      <c r="AY31" s="37"/>
      <c r="AZ31" s="37"/>
      <c r="BA31" s="64"/>
    </row>
    <row r="32" spans="1:53">
      <c r="A32" s="231">
        <v>4015</v>
      </c>
      <c r="B32" s="4">
        <v>103483</v>
      </c>
      <c r="C32" s="4" t="s">
        <v>305</v>
      </c>
      <c r="D32" s="4" t="s">
        <v>306</v>
      </c>
      <c r="E32" s="213" t="s">
        <v>6</v>
      </c>
      <c r="F32" s="248" t="s">
        <v>229</v>
      </c>
      <c r="G32" s="37"/>
      <c r="H32" s="270">
        <f>_xlfn.IFNA(VLOOKUP(A32,ISB!$A$4:$BY$454,67,FALSE),0)</f>
        <v>5361992.7222033162</v>
      </c>
      <c r="I32" s="270">
        <f>_xlfn.IFNA(VLOOKUP(A32,ISB!$A$4:$BY$454,72,FALSE),0)</f>
        <v>-14531.85</v>
      </c>
      <c r="J32" s="271">
        <f>-_xlfn.IFNA(VLOOKUP(A32,ISB!$A$4:$BY$454,76,FALSE),0)</f>
        <v>-73229.642200000002</v>
      </c>
      <c r="K32" s="271">
        <f>_xlfn.IFNA(VLOOKUP(A32,ISB!$A$4:$BY$454,77,FALSE),0)</f>
        <v>5274231.2300033169</v>
      </c>
      <c r="L32" s="271">
        <f>_xlfn.IFNA(VLOOKUP(A32,'Post 16'!A:AC,13,FALSE),0)+_xlfn.IFNA(VLOOKUP(A32,'Post 16'!A:AC,17,FALSE),0)+(_xlfn.IFNA(VLOOKUP(A32,'Post 16'!A:AC,28,FALSE),0))</f>
        <v>0</v>
      </c>
      <c r="M32" s="271">
        <f>VLOOKUP(A32,HN!A:P,16,FALSE)</f>
        <v>0</v>
      </c>
      <c r="N32" s="271">
        <f>VLOOKUP(A32,HN!A:T,20,FALSE)</f>
        <v>0</v>
      </c>
      <c r="O32" s="271">
        <f>VLOOKUP(A32,EY!A:O,15,FALSE)</f>
        <v>0</v>
      </c>
      <c r="P32" s="271">
        <f>-VLOOKUP(A32,Adjustments!A:M,11,FALSE)</f>
        <v>0</v>
      </c>
      <c r="Q32" s="273"/>
      <c r="R32" s="273"/>
      <c r="S32" s="273">
        <f t="shared" si="1"/>
        <v>5274231.2300033169</v>
      </c>
      <c r="T32" s="37"/>
      <c r="U32" s="37">
        <v>439519.27</v>
      </c>
      <c r="V32" s="37">
        <v>439519.27</v>
      </c>
      <c r="W32" s="37">
        <v>439519.27</v>
      </c>
      <c r="X32" s="37">
        <v>439519.27</v>
      </c>
      <c r="Y32" s="37">
        <v>439519.27</v>
      </c>
      <c r="Z32" s="37">
        <f t="shared" si="2"/>
        <v>439519.27</v>
      </c>
      <c r="AA32" s="37">
        <f t="shared" si="2"/>
        <v>439519.27</v>
      </c>
      <c r="AB32" s="37">
        <f t="shared" si="2"/>
        <v>439519.27</v>
      </c>
      <c r="AC32" s="37">
        <f t="shared" si="2"/>
        <v>439519.27</v>
      </c>
      <c r="AD32" s="37">
        <f t="shared" si="2"/>
        <v>439519.27</v>
      </c>
      <c r="AE32" s="37">
        <f t="shared" si="2"/>
        <v>439519.27</v>
      </c>
      <c r="AF32" s="37">
        <f t="shared" si="3"/>
        <v>439519.26000331622</v>
      </c>
      <c r="AG32" s="37">
        <f t="shared" si="4"/>
        <v>5274231.2300033169</v>
      </c>
      <c r="AH32" s="37" t="b">
        <f t="shared" si="5"/>
        <v>1</v>
      </c>
      <c r="AI32" s="37"/>
      <c r="AJ32" s="37"/>
      <c r="AK32" s="37"/>
      <c r="AL32" s="37"/>
      <c r="AM32" s="37"/>
      <c r="AN32" s="37"/>
      <c r="AO32" s="37"/>
      <c r="AP32" s="207"/>
      <c r="AR32" s="37"/>
      <c r="AS32" s="37"/>
      <c r="AT32" s="37"/>
      <c r="AU32" s="37"/>
      <c r="AV32" s="37"/>
      <c r="AW32" s="37"/>
      <c r="AX32" s="37"/>
      <c r="AY32" s="37"/>
      <c r="AZ32" s="37"/>
      <c r="BA32" s="64"/>
    </row>
    <row r="33" spans="1:53">
      <c r="A33" s="231">
        <v>4223</v>
      </c>
      <c r="B33" s="4">
        <v>103509</v>
      </c>
      <c r="C33" s="4" t="s">
        <v>308</v>
      </c>
      <c r="D33" s="4" t="s">
        <v>309</v>
      </c>
      <c r="E33" s="213" t="s">
        <v>6</v>
      </c>
      <c r="F33" s="248" t="s">
        <v>229</v>
      </c>
      <c r="G33" s="37"/>
      <c r="H33" s="270">
        <f>_xlfn.IFNA(VLOOKUP(A33,ISB!$A$4:$BY$454,67,FALSE),0)</f>
        <v>8047468.174930091</v>
      </c>
      <c r="I33" s="270">
        <f>_xlfn.IFNA(VLOOKUP(A33,ISB!$A$4:$BY$454,72,FALSE),0)</f>
        <v>-20104.650000000001</v>
      </c>
      <c r="J33" s="271">
        <f>-_xlfn.IFNA(VLOOKUP(A33,ISB!$A$4:$BY$454,76,FALSE),0)</f>
        <v>-174898.94399999999</v>
      </c>
      <c r="K33" s="271">
        <f>_xlfn.IFNA(VLOOKUP(A33,ISB!$A$4:$BY$454,77,FALSE),0)</f>
        <v>7852464.5809300905</v>
      </c>
      <c r="L33" s="271">
        <f>_xlfn.IFNA(VLOOKUP(A33,'Post 16'!A:AC,13,FALSE),0)+_xlfn.IFNA(VLOOKUP(A33,'Post 16'!A:AC,17,FALSE),0)+(_xlfn.IFNA(VLOOKUP(A33,'Post 16'!A:AC,28,FALSE),0))</f>
        <v>947225</v>
      </c>
      <c r="M33" s="271">
        <f>VLOOKUP(A33,HN!A:P,16,FALSE)</f>
        <v>0</v>
      </c>
      <c r="N33" s="271">
        <f>VLOOKUP(A33,HN!A:T,20,FALSE)</f>
        <v>0</v>
      </c>
      <c r="O33" s="271">
        <f>VLOOKUP(A33,EY!A:O,15,FALSE)</f>
        <v>0</v>
      </c>
      <c r="P33" s="271">
        <f>-VLOOKUP(A33,Adjustments!A:M,11,FALSE)</f>
        <v>0</v>
      </c>
      <c r="Q33" s="273">
        <v>-628003.09362388402</v>
      </c>
      <c r="R33" s="273"/>
      <c r="S33" s="273">
        <f t="shared" si="1"/>
        <v>8171686.4873062074</v>
      </c>
      <c r="T33" s="37"/>
      <c r="U33" s="37">
        <v>683411.96</v>
      </c>
      <c r="V33" s="37">
        <v>683411.96</v>
      </c>
      <c r="W33" s="37">
        <v>683411.96</v>
      </c>
      <c r="X33" s="37">
        <v>683411.99</v>
      </c>
      <c r="Y33" s="37">
        <v>683411.99</v>
      </c>
      <c r="Z33" s="37">
        <f t="shared" si="2"/>
        <v>679232.38</v>
      </c>
      <c r="AA33" s="37">
        <f t="shared" si="2"/>
        <v>679232.38</v>
      </c>
      <c r="AB33" s="37">
        <f t="shared" si="2"/>
        <v>679232.38</v>
      </c>
      <c r="AC33" s="37">
        <f t="shared" si="2"/>
        <v>679232.38</v>
      </c>
      <c r="AD33" s="37">
        <f t="shared" si="2"/>
        <v>679232.38</v>
      </c>
      <c r="AE33" s="37">
        <f t="shared" si="2"/>
        <v>679232.38</v>
      </c>
      <c r="AF33" s="37">
        <f t="shared" si="3"/>
        <v>679232.34730620775</v>
      </c>
      <c r="AG33" s="37">
        <f t="shared" si="4"/>
        <v>8171686.4873062074</v>
      </c>
      <c r="AH33" s="37" t="b">
        <f t="shared" si="5"/>
        <v>1</v>
      </c>
      <c r="AI33" s="37"/>
      <c r="AJ33" s="37"/>
      <c r="AK33" s="37"/>
      <c r="AL33" s="37"/>
      <c r="AM33" s="37"/>
      <c r="AN33" s="37"/>
      <c r="AO33" s="37"/>
      <c r="AP33" s="207"/>
      <c r="AR33" s="37"/>
      <c r="AS33" s="37"/>
      <c r="AT33" s="37"/>
      <c r="AU33" s="37"/>
      <c r="AV33" s="37"/>
      <c r="AW33" s="37"/>
      <c r="AX33" s="37"/>
      <c r="AY33" s="37"/>
      <c r="AZ33" s="37"/>
      <c r="BA33" s="64"/>
    </row>
    <row r="34" spans="1:53">
      <c r="A34" s="231">
        <v>2015</v>
      </c>
      <c r="B34" s="4">
        <v>134102</v>
      </c>
      <c r="C34" s="4" t="s">
        <v>311</v>
      </c>
      <c r="D34" s="4" t="s">
        <v>312</v>
      </c>
      <c r="E34" s="213" t="s">
        <v>5</v>
      </c>
      <c r="F34" s="248" t="s">
        <v>229</v>
      </c>
      <c r="G34" s="37"/>
      <c r="H34" s="270">
        <f>_xlfn.IFNA(VLOOKUP(A34,ISB!$A$4:$BY$454,67,FALSE),0)</f>
        <v>2426527.8303372329</v>
      </c>
      <c r="I34" s="270">
        <f>_xlfn.IFNA(VLOOKUP(A34,ISB!$A$4:$BY$454,72,FALSE),0)</f>
        <v>-10278.700000000001</v>
      </c>
      <c r="J34" s="271">
        <f>-_xlfn.IFNA(VLOOKUP(A34,ISB!$A$4:$BY$454,76,FALSE),0)</f>
        <v>-41332.097500000003</v>
      </c>
      <c r="K34" s="271">
        <f>_xlfn.IFNA(VLOOKUP(A34,ISB!$A$4:$BY$454,77,FALSE),0)</f>
        <v>2374917.0328372326</v>
      </c>
      <c r="L34" s="271">
        <f>_xlfn.IFNA(VLOOKUP(A34,'Post 16'!A:AC,13,FALSE),0)+_xlfn.IFNA(VLOOKUP(A34,'Post 16'!A:AC,17,FALSE),0)+(_xlfn.IFNA(VLOOKUP(A34,'Post 16'!A:AC,28,FALSE),0))</f>
        <v>0</v>
      </c>
      <c r="M34" s="271">
        <f>VLOOKUP(A34,HN!A:P,16,FALSE)</f>
        <v>0</v>
      </c>
      <c r="N34" s="271">
        <f>VLOOKUP(A34,HN!A:T,20,FALSE)</f>
        <v>0</v>
      </c>
      <c r="O34" s="271">
        <f>VLOOKUP(A34,EY!A:O,15,FALSE)</f>
        <v>126879.99999999999</v>
      </c>
      <c r="P34" s="271">
        <f>-VLOOKUP(A34,Adjustments!A:M,11,FALSE)</f>
        <v>-9471</v>
      </c>
      <c r="Q34" s="273"/>
      <c r="R34" s="273"/>
      <c r="S34" s="273">
        <f t="shared" si="1"/>
        <v>2492326.0328372326</v>
      </c>
      <c r="T34" s="37"/>
      <c r="U34" s="37">
        <v>209936.75</v>
      </c>
      <c r="V34" s="37">
        <v>209936.75</v>
      </c>
      <c r="W34" s="37">
        <v>209936.75</v>
      </c>
      <c r="X34" s="37">
        <v>206946.2</v>
      </c>
      <c r="Y34" s="37">
        <v>206946.2</v>
      </c>
      <c r="Z34" s="37">
        <f t="shared" si="2"/>
        <v>206946.2</v>
      </c>
      <c r="AA34" s="37">
        <f t="shared" si="2"/>
        <v>206946.2</v>
      </c>
      <c r="AB34" s="37">
        <f t="shared" si="2"/>
        <v>206946.2</v>
      </c>
      <c r="AC34" s="37">
        <f t="shared" si="2"/>
        <v>206946.2</v>
      </c>
      <c r="AD34" s="37">
        <f t="shared" si="2"/>
        <v>206946.2</v>
      </c>
      <c r="AE34" s="37">
        <f t="shared" si="2"/>
        <v>206946.2</v>
      </c>
      <c r="AF34" s="37">
        <f t="shared" si="3"/>
        <v>206946.18283723295</v>
      </c>
      <c r="AG34" s="37">
        <f t="shared" si="4"/>
        <v>2492326.0328372326</v>
      </c>
      <c r="AH34" s="37" t="b">
        <f t="shared" si="5"/>
        <v>1</v>
      </c>
      <c r="AI34" s="37"/>
      <c r="AJ34" s="37"/>
      <c r="AK34" s="37"/>
      <c r="AL34" s="37"/>
      <c r="AM34" s="37"/>
      <c r="AN34" s="37"/>
      <c r="AO34" s="37"/>
      <c r="AP34" s="207"/>
      <c r="AR34" s="37"/>
      <c r="AS34" s="37"/>
      <c r="AT34" s="37"/>
      <c r="AU34" s="37"/>
      <c r="AV34" s="37"/>
      <c r="AW34" s="37"/>
      <c r="AX34" s="37"/>
      <c r="AY34" s="37"/>
      <c r="AZ34" s="37"/>
      <c r="BA34" s="64"/>
    </row>
    <row r="35" spans="1:53">
      <c r="A35" s="231">
        <v>2462</v>
      </c>
      <c r="B35" s="4">
        <v>103388</v>
      </c>
      <c r="C35" s="4" t="s">
        <v>314</v>
      </c>
      <c r="D35" s="4" t="s">
        <v>315</v>
      </c>
      <c r="E35" s="213" t="s">
        <v>5</v>
      </c>
      <c r="F35" s="248" t="s">
        <v>229</v>
      </c>
      <c r="G35" s="37"/>
      <c r="H35" s="270">
        <f>_xlfn.IFNA(VLOOKUP(A35,ISB!$A$4:$BY$454,67,FALSE),0)</f>
        <v>2000009.6703999999</v>
      </c>
      <c r="I35" s="270">
        <f>_xlfn.IFNA(VLOOKUP(A35,ISB!$A$4:$BY$454,72,FALSE),0)</f>
        <v>-10579.54</v>
      </c>
      <c r="J35" s="271">
        <f>-_xlfn.IFNA(VLOOKUP(A35,ISB!$A$4:$BY$454,76,FALSE),0)</f>
        <v>-54589.670400000003</v>
      </c>
      <c r="K35" s="271">
        <f>_xlfn.IFNA(VLOOKUP(A35,ISB!$A$4:$BY$454,77,FALSE),0)</f>
        <v>1934840.46</v>
      </c>
      <c r="L35" s="271">
        <f>_xlfn.IFNA(VLOOKUP(A35,'Post 16'!A:AC,13,FALSE),0)+_xlfn.IFNA(VLOOKUP(A35,'Post 16'!A:AC,17,FALSE),0)+(_xlfn.IFNA(VLOOKUP(A35,'Post 16'!A:AC,28,FALSE),0))</f>
        <v>0</v>
      </c>
      <c r="M35" s="271">
        <f>VLOOKUP(A35,HN!A:P,16,FALSE)</f>
        <v>0</v>
      </c>
      <c r="N35" s="271">
        <f>VLOOKUP(A35,HN!A:T,20,FALSE)</f>
        <v>0</v>
      </c>
      <c r="O35" s="271">
        <f>VLOOKUP(A35,EY!A:O,15,FALSE)</f>
        <v>0</v>
      </c>
      <c r="P35" s="271">
        <f>-VLOOKUP(A35,Adjustments!A:M,11,FALSE)</f>
        <v>-9471</v>
      </c>
      <c r="Q35" s="273"/>
      <c r="R35" s="273">
        <v>-13458.82</v>
      </c>
      <c r="S35" s="273">
        <f t="shared" si="1"/>
        <v>1911910.64</v>
      </c>
      <c r="T35" s="37"/>
      <c r="U35" s="37">
        <v>159325.89000000001</v>
      </c>
      <c r="V35" s="37">
        <v>159325.89000000001</v>
      </c>
      <c r="W35" s="37">
        <v>159325.89000000001</v>
      </c>
      <c r="X35" s="37">
        <v>159325.89000000001</v>
      </c>
      <c r="Y35" s="37">
        <v>159325.89000000001</v>
      </c>
      <c r="Z35" s="37">
        <f t="shared" si="2"/>
        <v>159325.88</v>
      </c>
      <c r="AA35" s="37">
        <f t="shared" si="2"/>
        <v>159325.88</v>
      </c>
      <c r="AB35" s="37">
        <f t="shared" si="2"/>
        <v>159325.88</v>
      </c>
      <c r="AC35" s="37">
        <f t="shared" si="2"/>
        <v>159325.88</v>
      </c>
      <c r="AD35" s="37">
        <f t="shared" si="2"/>
        <v>159325.88</v>
      </c>
      <c r="AE35" s="37">
        <f t="shared" si="2"/>
        <v>159325.88</v>
      </c>
      <c r="AF35" s="37">
        <f t="shared" si="3"/>
        <v>159325.91000000038</v>
      </c>
      <c r="AG35" s="37">
        <f t="shared" si="4"/>
        <v>1911910.64</v>
      </c>
      <c r="AH35" s="37" t="b">
        <f t="shared" si="5"/>
        <v>1</v>
      </c>
      <c r="AI35" s="37"/>
      <c r="AJ35" s="37"/>
      <c r="AK35" s="37"/>
      <c r="AL35" s="37"/>
      <c r="AM35" s="37"/>
      <c r="AN35" s="37"/>
      <c r="AO35" s="37"/>
      <c r="AP35" s="207"/>
      <c r="AR35" s="37"/>
      <c r="AS35" s="37"/>
      <c r="AT35" s="37"/>
      <c r="AU35" s="37"/>
      <c r="AV35" s="37"/>
      <c r="AW35" s="37"/>
      <c r="AX35" s="37"/>
      <c r="AY35" s="37"/>
      <c r="AZ35" s="37"/>
      <c r="BA35" s="64"/>
    </row>
    <row r="36" spans="1:53">
      <c r="A36" s="231">
        <v>2127</v>
      </c>
      <c r="B36" s="4">
        <v>103227</v>
      </c>
      <c r="C36" s="4" t="s">
        <v>317</v>
      </c>
      <c r="D36" s="4" t="s">
        <v>318</v>
      </c>
      <c r="E36" s="213" t="s">
        <v>5</v>
      </c>
      <c r="F36" s="248" t="s">
        <v>229</v>
      </c>
      <c r="G36" s="37"/>
      <c r="H36" s="270">
        <f>_xlfn.IFNA(VLOOKUP(A36,ISB!$A$4:$BY$454,67,FALSE),0)</f>
        <v>2440664.4326565303</v>
      </c>
      <c r="I36" s="270">
        <f>_xlfn.IFNA(VLOOKUP(A36,ISB!$A$4:$BY$454,72,FALSE),0)</f>
        <v>-10479.26</v>
      </c>
      <c r="J36" s="271">
        <f>-_xlfn.IFNA(VLOOKUP(A36,ISB!$A$4:$BY$454,76,FALSE),0)</f>
        <v>-58299.648000000001</v>
      </c>
      <c r="K36" s="271">
        <f>_xlfn.IFNA(VLOOKUP(A36,ISB!$A$4:$BY$454,77,FALSE),0)</f>
        <v>2371885.5246565305</v>
      </c>
      <c r="L36" s="271">
        <f>_xlfn.IFNA(VLOOKUP(A36,'Post 16'!A:AC,13,FALSE),0)+_xlfn.IFNA(VLOOKUP(A36,'Post 16'!A:AC,17,FALSE),0)+(_xlfn.IFNA(VLOOKUP(A36,'Post 16'!A:AC,28,FALSE),0))</f>
        <v>0</v>
      </c>
      <c r="M36" s="271">
        <f>VLOOKUP(A36,HN!A:P,16,FALSE)</f>
        <v>0</v>
      </c>
      <c r="N36" s="271">
        <f>VLOOKUP(A36,HN!A:T,20,FALSE)</f>
        <v>0</v>
      </c>
      <c r="O36" s="271">
        <f>VLOOKUP(A36,EY!A:O,15,FALSE)</f>
        <v>153210.00000000003</v>
      </c>
      <c r="P36" s="271">
        <f>-VLOOKUP(A36,Adjustments!A:M,11,FALSE)</f>
        <v>0</v>
      </c>
      <c r="Q36" s="273">
        <v>-289847.82739841199</v>
      </c>
      <c r="R36" s="273"/>
      <c r="S36" s="273">
        <f t="shared" si="1"/>
        <v>2235247.6972581185</v>
      </c>
      <c r="T36" s="37"/>
      <c r="U36" s="37">
        <v>184656.07</v>
      </c>
      <c r="V36" s="37">
        <v>184656.07</v>
      </c>
      <c r="W36" s="37">
        <v>184656.07</v>
      </c>
      <c r="X36" s="37">
        <v>186808.83</v>
      </c>
      <c r="Y36" s="37">
        <v>186808.83</v>
      </c>
      <c r="Z36" s="37">
        <f t="shared" si="2"/>
        <v>186808.83</v>
      </c>
      <c r="AA36" s="37">
        <f t="shared" si="2"/>
        <v>186808.83</v>
      </c>
      <c r="AB36" s="37">
        <f t="shared" si="2"/>
        <v>186808.83</v>
      </c>
      <c r="AC36" s="37">
        <f t="shared" si="2"/>
        <v>186808.83</v>
      </c>
      <c r="AD36" s="37">
        <f t="shared" si="2"/>
        <v>186808.83</v>
      </c>
      <c r="AE36" s="37">
        <f t="shared" si="2"/>
        <v>186808.83</v>
      </c>
      <c r="AF36" s="37">
        <f t="shared" si="3"/>
        <v>186808.84725811821</v>
      </c>
      <c r="AG36" s="37">
        <f t="shared" si="4"/>
        <v>2235247.6972581185</v>
      </c>
      <c r="AH36" s="37" t="b">
        <f t="shared" si="5"/>
        <v>1</v>
      </c>
      <c r="AI36" s="37"/>
      <c r="AJ36" s="37"/>
      <c r="AK36" s="37"/>
      <c r="AL36" s="37"/>
      <c r="AM36" s="37"/>
      <c r="AN36" s="37"/>
      <c r="AO36" s="37"/>
      <c r="AP36" s="207"/>
      <c r="AR36" s="37"/>
      <c r="AS36" s="37"/>
      <c r="AT36" s="37"/>
      <c r="AU36" s="37"/>
      <c r="AV36" s="37"/>
      <c r="AW36" s="37"/>
      <c r="AX36" s="37"/>
      <c r="AY36" s="37"/>
      <c r="AZ36" s="37"/>
      <c r="BA36" s="64"/>
    </row>
    <row r="37" spans="1:53">
      <c r="A37" s="231">
        <v>2129</v>
      </c>
      <c r="B37" s="4">
        <v>103229</v>
      </c>
      <c r="C37" s="4" t="s">
        <v>320</v>
      </c>
      <c r="D37" s="4" t="s">
        <v>321</v>
      </c>
      <c r="E37" s="213" t="s">
        <v>5</v>
      </c>
      <c r="F37" s="248" t="s">
        <v>229</v>
      </c>
      <c r="G37" s="37"/>
      <c r="H37" s="270">
        <f>_xlfn.IFNA(VLOOKUP(A37,ISB!$A$4:$BY$454,67,FALSE),0)</f>
        <v>1336949.8496831497</v>
      </c>
      <c r="I37" s="270">
        <f>_xlfn.IFNA(VLOOKUP(A37,ISB!$A$4:$BY$454,72,FALSE),0)</f>
        <v>-6543.27</v>
      </c>
      <c r="J37" s="271">
        <f>-_xlfn.IFNA(VLOOKUP(A37,ISB!$A$4:$BY$454,76,FALSE),0)</f>
        <v>-17553.496899999998</v>
      </c>
      <c r="K37" s="271">
        <f>_xlfn.IFNA(VLOOKUP(A37,ISB!$A$4:$BY$454,77,FALSE),0)</f>
        <v>1312853.0827831498</v>
      </c>
      <c r="L37" s="271">
        <f>_xlfn.IFNA(VLOOKUP(A37,'Post 16'!A:AC,13,FALSE),0)+_xlfn.IFNA(VLOOKUP(A37,'Post 16'!A:AC,17,FALSE),0)+(_xlfn.IFNA(VLOOKUP(A37,'Post 16'!A:AC,28,FALSE),0))</f>
        <v>0</v>
      </c>
      <c r="M37" s="271">
        <f>VLOOKUP(A37,HN!A:P,16,FALSE)</f>
        <v>0</v>
      </c>
      <c r="N37" s="271">
        <f>VLOOKUP(A37,HN!A:T,20,FALSE)</f>
        <v>181067.30769230769</v>
      </c>
      <c r="O37" s="271">
        <f>VLOOKUP(A37,EY!A:O,15,FALSE)</f>
        <v>0</v>
      </c>
      <c r="P37" s="271">
        <f>-VLOOKUP(A37,Adjustments!A:M,11,FALSE)</f>
        <v>-6525</v>
      </c>
      <c r="Q37" s="273"/>
      <c r="R37" s="273"/>
      <c r="S37" s="273">
        <f t="shared" si="1"/>
        <v>1487395.3904754575</v>
      </c>
      <c r="T37" s="37"/>
      <c r="U37" s="37">
        <v>109404.42</v>
      </c>
      <c r="V37" s="37">
        <v>109404.42</v>
      </c>
      <c r="W37" s="37">
        <v>109404.42</v>
      </c>
      <c r="X37" s="37">
        <v>169760.18923076923</v>
      </c>
      <c r="Y37" s="37">
        <v>124493.37</v>
      </c>
      <c r="Z37" s="37">
        <f t="shared" si="2"/>
        <v>123561.22</v>
      </c>
      <c r="AA37" s="37">
        <f t="shared" si="2"/>
        <v>123561.22</v>
      </c>
      <c r="AB37" s="37">
        <f t="shared" si="2"/>
        <v>123561.22</v>
      </c>
      <c r="AC37" s="37">
        <f t="shared" si="2"/>
        <v>123561.22</v>
      </c>
      <c r="AD37" s="37">
        <f t="shared" si="2"/>
        <v>123561.22</v>
      </c>
      <c r="AE37" s="37">
        <f t="shared" si="2"/>
        <v>123561.22</v>
      </c>
      <c r="AF37" s="37">
        <f t="shared" si="3"/>
        <v>123561.25124468841</v>
      </c>
      <c r="AG37" s="37">
        <f t="shared" si="4"/>
        <v>1487395.3904754575</v>
      </c>
      <c r="AH37" s="37" t="b">
        <f t="shared" si="5"/>
        <v>1</v>
      </c>
      <c r="AI37" s="37"/>
      <c r="AJ37" s="37"/>
      <c r="AK37" s="37"/>
      <c r="AL37" s="37"/>
      <c r="AM37" s="37"/>
      <c r="AN37" s="37"/>
      <c r="AO37" s="37"/>
      <c r="AP37" s="207"/>
      <c r="AR37" s="37"/>
      <c r="AS37" s="37"/>
      <c r="AT37" s="37"/>
      <c r="AU37" s="37"/>
      <c r="AV37" s="37"/>
      <c r="AW37" s="37"/>
      <c r="AX37" s="37"/>
      <c r="AY37" s="37"/>
      <c r="AZ37" s="37"/>
      <c r="BA37" s="64"/>
    </row>
    <row r="38" spans="1:53">
      <c r="A38" s="231">
        <v>2128</v>
      </c>
      <c r="B38" s="4">
        <v>103228</v>
      </c>
      <c r="C38" s="4" t="s">
        <v>323</v>
      </c>
      <c r="D38" s="4" t="s">
        <v>324</v>
      </c>
      <c r="E38" s="213" t="s">
        <v>5</v>
      </c>
      <c r="F38" s="248" t="s">
        <v>229</v>
      </c>
      <c r="G38" s="37"/>
      <c r="H38" s="270">
        <f>_xlfn.IFNA(VLOOKUP(A38,ISB!$A$4:$BY$454,67,FALSE),0)</f>
        <v>1843160.3838171321</v>
      </c>
      <c r="I38" s="270">
        <f>_xlfn.IFNA(VLOOKUP(A38,ISB!$A$4:$BY$454,72,FALSE),0)</f>
        <v>-9275.9</v>
      </c>
      <c r="J38" s="271">
        <f>-_xlfn.IFNA(VLOOKUP(A38,ISB!$A$4:$BY$454,76,FALSE),0)</f>
        <v>-19016.282299999999</v>
      </c>
      <c r="K38" s="271">
        <f>_xlfn.IFNA(VLOOKUP(A38,ISB!$A$4:$BY$454,77,FALSE),0)</f>
        <v>1814868.2015171321</v>
      </c>
      <c r="L38" s="271">
        <f>_xlfn.IFNA(VLOOKUP(A38,'Post 16'!A:AC,13,FALSE),0)+_xlfn.IFNA(VLOOKUP(A38,'Post 16'!A:AC,17,FALSE),0)+(_xlfn.IFNA(VLOOKUP(A38,'Post 16'!A:AC,28,FALSE),0))</f>
        <v>0</v>
      </c>
      <c r="M38" s="271">
        <f>VLOOKUP(A38,HN!A:P,16,FALSE)</f>
        <v>0</v>
      </c>
      <c r="N38" s="271">
        <f>VLOOKUP(A38,HN!A:T,20,FALSE)</f>
        <v>190518.26923076925</v>
      </c>
      <c r="O38" s="271">
        <f>VLOOKUP(A38,EY!A:O,15,FALSE)</f>
        <v>0</v>
      </c>
      <c r="P38" s="271">
        <f>-VLOOKUP(A38,Adjustments!A:M,11,FALSE)</f>
        <v>-9471</v>
      </c>
      <c r="Q38" s="273"/>
      <c r="R38" s="273"/>
      <c r="S38" s="273">
        <f t="shared" si="1"/>
        <v>1995915.4707479014</v>
      </c>
      <c r="T38" s="37"/>
      <c r="U38" s="37">
        <v>150449.76999999999</v>
      </c>
      <c r="V38" s="37">
        <v>150449.76999999999</v>
      </c>
      <c r="W38" s="37">
        <v>150449.76999999999</v>
      </c>
      <c r="X38" s="37">
        <v>213955.85974358974</v>
      </c>
      <c r="Y38" s="37">
        <v>166326.29</v>
      </c>
      <c r="Z38" s="37">
        <f t="shared" si="2"/>
        <v>166326.29</v>
      </c>
      <c r="AA38" s="37">
        <f t="shared" si="2"/>
        <v>166326.29</v>
      </c>
      <c r="AB38" s="37">
        <f t="shared" si="2"/>
        <v>166326.29</v>
      </c>
      <c r="AC38" s="37">
        <f t="shared" si="2"/>
        <v>166326.29</v>
      </c>
      <c r="AD38" s="37">
        <f t="shared" si="2"/>
        <v>166326.29</v>
      </c>
      <c r="AE38" s="37">
        <f t="shared" si="2"/>
        <v>166326.29</v>
      </c>
      <c r="AF38" s="37">
        <f t="shared" si="3"/>
        <v>166326.27100431151</v>
      </c>
      <c r="AG38" s="37">
        <f t="shared" si="4"/>
        <v>1995915.4707479014</v>
      </c>
      <c r="AH38" s="37" t="b">
        <f t="shared" si="5"/>
        <v>1</v>
      </c>
      <c r="AI38" s="37"/>
      <c r="AJ38" s="37"/>
      <c r="AK38" s="37"/>
      <c r="AL38" s="37"/>
      <c r="AM38" s="37"/>
      <c r="AN38" s="37"/>
      <c r="AO38" s="37"/>
      <c r="AP38" s="207"/>
      <c r="AR38" s="37"/>
      <c r="AS38" s="37"/>
      <c r="AT38" s="37"/>
      <c r="AU38" s="37"/>
      <c r="AV38" s="37"/>
      <c r="AW38" s="37"/>
      <c r="AX38" s="37"/>
      <c r="AY38" s="37"/>
      <c r="AZ38" s="37"/>
      <c r="BA38" s="64"/>
    </row>
    <row r="39" spans="1:53">
      <c r="A39" s="231">
        <v>2133</v>
      </c>
      <c r="B39" s="4">
        <v>103233</v>
      </c>
      <c r="C39" s="4" t="s">
        <v>326</v>
      </c>
      <c r="D39" s="4" t="s">
        <v>327</v>
      </c>
      <c r="E39" s="213" t="s">
        <v>5</v>
      </c>
      <c r="F39" s="248" t="s">
        <v>229</v>
      </c>
      <c r="G39" s="37"/>
      <c r="H39" s="270">
        <f>_xlfn.IFNA(VLOOKUP(A39,ISB!$A$4:$BY$454,67,FALSE),0)</f>
        <v>2518113.1133524519</v>
      </c>
      <c r="I39" s="270">
        <f>_xlfn.IFNA(VLOOKUP(A39,ISB!$A$4:$BY$454,72,FALSE),0)</f>
        <v>-10479.26</v>
      </c>
      <c r="J39" s="271">
        <f>-_xlfn.IFNA(VLOOKUP(A39,ISB!$A$4:$BY$454,76,FALSE),0)</f>
        <v>-46374.720000000001</v>
      </c>
      <c r="K39" s="271">
        <f>_xlfn.IFNA(VLOOKUP(A39,ISB!$A$4:$BY$454,77,FALSE),0)</f>
        <v>2461259.133352452</v>
      </c>
      <c r="L39" s="271">
        <f>_xlfn.IFNA(VLOOKUP(A39,'Post 16'!A:AC,13,FALSE),0)+_xlfn.IFNA(VLOOKUP(A39,'Post 16'!A:AC,17,FALSE),0)+(_xlfn.IFNA(VLOOKUP(A39,'Post 16'!A:AC,28,FALSE),0))</f>
        <v>0</v>
      </c>
      <c r="M39" s="271">
        <f>VLOOKUP(A39,HN!A:P,16,FALSE)</f>
        <v>0</v>
      </c>
      <c r="N39" s="271">
        <f>VLOOKUP(A39,HN!A:T,20,FALSE)</f>
        <v>0</v>
      </c>
      <c r="O39" s="271">
        <f>VLOOKUP(A39,EY!A:O,15,FALSE)</f>
        <v>0</v>
      </c>
      <c r="P39" s="271">
        <f>-VLOOKUP(A39,Adjustments!A:M,11,FALSE)</f>
        <v>-9471</v>
      </c>
      <c r="Q39" s="273">
        <v>-396258.73964487598</v>
      </c>
      <c r="R39" s="273"/>
      <c r="S39" s="273">
        <f t="shared" si="1"/>
        <v>2055529.393707576</v>
      </c>
      <c r="T39" s="37"/>
      <c r="U39" s="37">
        <v>171294.12</v>
      </c>
      <c r="V39" s="37">
        <v>171294.12</v>
      </c>
      <c r="W39" s="37">
        <v>171294.12</v>
      </c>
      <c r="X39" s="37">
        <v>171294.11</v>
      </c>
      <c r="Y39" s="37">
        <v>171294.12</v>
      </c>
      <c r="Z39" s="37">
        <f t="shared" si="2"/>
        <v>171294.11</v>
      </c>
      <c r="AA39" s="37">
        <f t="shared" si="2"/>
        <v>171294.11</v>
      </c>
      <c r="AB39" s="37">
        <f t="shared" si="2"/>
        <v>171294.11</v>
      </c>
      <c r="AC39" s="37">
        <f t="shared" si="2"/>
        <v>171294.11</v>
      </c>
      <c r="AD39" s="37">
        <f t="shared" si="2"/>
        <v>171294.11</v>
      </c>
      <c r="AE39" s="37">
        <f t="shared" si="2"/>
        <v>171294.11</v>
      </c>
      <c r="AF39" s="37">
        <f t="shared" si="3"/>
        <v>171294.14370757644</v>
      </c>
      <c r="AG39" s="37">
        <f t="shared" si="4"/>
        <v>2055529.393707576</v>
      </c>
      <c r="AH39" s="37" t="b">
        <f t="shared" si="5"/>
        <v>1</v>
      </c>
      <c r="AI39" s="37"/>
      <c r="AJ39" s="37"/>
      <c r="AK39" s="37"/>
      <c r="AL39" s="37"/>
      <c r="AM39" s="37"/>
      <c r="AN39" s="37"/>
      <c r="AO39" s="37"/>
      <c r="AP39" s="207"/>
      <c r="AR39" s="37"/>
      <c r="AS39" s="37"/>
      <c r="AT39" s="37"/>
      <c r="AU39" s="37"/>
      <c r="AV39" s="37"/>
      <c r="AW39" s="37"/>
      <c r="AX39" s="37"/>
      <c r="AY39" s="37"/>
      <c r="AZ39" s="37"/>
      <c r="BA39" s="64"/>
    </row>
    <row r="40" spans="1:53">
      <c r="A40" s="231">
        <v>3322</v>
      </c>
      <c r="B40" s="4">
        <v>103426</v>
      </c>
      <c r="C40" s="4" t="s">
        <v>329</v>
      </c>
      <c r="D40" s="4" t="s">
        <v>330</v>
      </c>
      <c r="E40" s="213" t="s">
        <v>5</v>
      </c>
      <c r="F40" s="248" t="s">
        <v>229</v>
      </c>
      <c r="G40" s="37"/>
      <c r="H40" s="270">
        <f>_xlfn.IFNA(VLOOKUP(A40,ISB!$A$4:$BY$454,67,FALSE),0)</f>
        <v>1107065.6168276449</v>
      </c>
      <c r="I40" s="270">
        <f>_xlfn.IFNA(VLOOKUP(A40,ISB!$A$4:$BY$454,72,FALSE),0)</f>
        <v>-5139.3500000000004</v>
      </c>
      <c r="J40" s="271">
        <f>-_xlfn.IFNA(VLOOKUP(A40,ISB!$A$4:$BY$454,76,FALSE),0)</f>
        <v>-4239.9744000000001</v>
      </c>
      <c r="K40" s="271">
        <f>_xlfn.IFNA(VLOOKUP(A40,ISB!$A$4:$BY$454,77,FALSE),0)</f>
        <v>1097686.2924276448</v>
      </c>
      <c r="L40" s="271">
        <f>_xlfn.IFNA(VLOOKUP(A40,'Post 16'!A:AC,13,FALSE),0)+_xlfn.IFNA(VLOOKUP(A40,'Post 16'!A:AC,17,FALSE),0)+(_xlfn.IFNA(VLOOKUP(A40,'Post 16'!A:AC,28,FALSE),0))</f>
        <v>0</v>
      </c>
      <c r="M40" s="271">
        <f>VLOOKUP(A40,HN!A:P,16,FALSE)</f>
        <v>0</v>
      </c>
      <c r="N40" s="271">
        <f>VLOOKUP(A40,HN!A:T,20,FALSE)</f>
        <v>0</v>
      </c>
      <c r="O40" s="271">
        <f>VLOOKUP(A40,EY!A:O,15,FALSE)</f>
        <v>88704.9</v>
      </c>
      <c r="P40" s="271">
        <f>-VLOOKUP(A40,Adjustments!A:M,11,FALSE)</f>
        <v>-5139.75</v>
      </c>
      <c r="Q40" s="273"/>
      <c r="R40" s="273"/>
      <c r="S40" s="273">
        <f t="shared" si="1"/>
        <v>1181251.4424276447</v>
      </c>
      <c r="T40" s="37"/>
      <c r="U40" s="37">
        <v>97519.06</v>
      </c>
      <c r="V40" s="37">
        <v>97519.06</v>
      </c>
      <c r="W40" s="37">
        <v>97519.06</v>
      </c>
      <c r="X40" s="37">
        <v>98743.81</v>
      </c>
      <c r="Y40" s="37">
        <v>98743.81</v>
      </c>
      <c r="Z40" s="37">
        <f t="shared" si="2"/>
        <v>98743.81</v>
      </c>
      <c r="AA40" s="37">
        <f t="shared" si="2"/>
        <v>98743.81</v>
      </c>
      <c r="AB40" s="37">
        <f t="shared" si="2"/>
        <v>98743.81</v>
      </c>
      <c r="AC40" s="37">
        <f t="shared" si="2"/>
        <v>98743.81</v>
      </c>
      <c r="AD40" s="37">
        <f t="shared" si="2"/>
        <v>98743.81</v>
      </c>
      <c r="AE40" s="37">
        <f t="shared" si="2"/>
        <v>98743.81</v>
      </c>
      <c r="AF40" s="37">
        <f t="shared" si="3"/>
        <v>98743.78242764459</v>
      </c>
      <c r="AG40" s="37">
        <f t="shared" si="4"/>
        <v>1181251.4424276447</v>
      </c>
      <c r="AH40" s="37" t="b">
        <f t="shared" si="5"/>
        <v>1</v>
      </c>
      <c r="AI40" s="37"/>
      <c r="AJ40" s="37"/>
      <c r="AK40" s="37"/>
      <c r="AL40" s="37"/>
      <c r="AM40" s="37"/>
      <c r="AN40" s="37"/>
      <c r="AO40" s="37"/>
      <c r="AP40" s="207"/>
      <c r="AR40" s="37"/>
      <c r="AS40" s="37"/>
      <c r="AT40" s="37"/>
      <c r="AU40" s="37"/>
      <c r="AV40" s="37"/>
      <c r="AW40" s="37"/>
      <c r="AX40" s="37"/>
      <c r="AY40" s="37"/>
      <c r="AZ40" s="37"/>
      <c r="BA40" s="64"/>
    </row>
    <row r="41" spans="1:53">
      <c r="A41" s="231">
        <v>2416</v>
      </c>
      <c r="B41" s="4">
        <v>103351</v>
      </c>
      <c r="C41" s="4" t="s">
        <v>332</v>
      </c>
      <c r="D41" s="4" t="s">
        <v>333</v>
      </c>
      <c r="E41" s="213" t="s">
        <v>5</v>
      </c>
      <c r="F41" s="248" t="s">
        <v>229</v>
      </c>
      <c r="G41" s="37"/>
      <c r="H41" s="270">
        <f>_xlfn.IFNA(VLOOKUP(A41,ISB!$A$4:$BY$454,67,FALSE),0)</f>
        <v>1945744.8032</v>
      </c>
      <c r="I41" s="270">
        <f>_xlfn.IFNA(VLOOKUP(A41,ISB!$A$4:$BY$454,72,FALSE),0)</f>
        <v>-10404.049999999999</v>
      </c>
      <c r="J41" s="271">
        <f>-_xlfn.IFNA(VLOOKUP(A41,ISB!$A$4:$BY$454,76,FALSE),0)</f>
        <v>-32594.803199999998</v>
      </c>
      <c r="K41" s="271">
        <f>_xlfn.IFNA(VLOOKUP(A41,ISB!$A$4:$BY$454,77,FALSE),0)</f>
        <v>1902745.95</v>
      </c>
      <c r="L41" s="271">
        <f>_xlfn.IFNA(VLOOKUP(A41,'Post 16'!A:AC,13,FALSE),0)+_xlfn.IFNA(VLOOKUP(A41,'Post 16'!A:AC,17,FALSE),0)+(_xlfn.IFNA(VLOOKUP(A41,'Post 16'!A:AC,28,FALSE),0))</f>
        <v>0</v>
      </c>
      <c r="M41" s="271">
        <f>VLOOKUP(A41,HN!A:P,16,FALSE)</f>
        <v>0</v>
      </c>
      <c r="N41" s="271">
        <f>VLOOKUP(A41,HN!A:T,20,FALSE)</f>
        <v>0</v>
      </c>
      <c r="O41" s="271">
        <f>VLOOKUP(A41,EY!A:O,15,FALSE)</f>
        <v>0</v>
      </c>
      <c r="P41" s="271">
        <f>-VLOOKUP(A41,Adjustments!A:M,11,FALSE)</f>
        <v>-10375</v>
      </c>
      <c r="Q41" s="273"/>
      <c r="R41" s="273"/>
      <c r="S41" s="273">
        <f t="shared" si="1"/>
        <v>1892370.95</v>
      </c>
      <c r="T41" s="37"/>
      <c r="U41" s="37">
        <v>158562.16</v>
      </c>
      <c r="V41" s="37">
        <v>158562.16</v>
      </c>
      <c r="W41" s="37">
        <v>158562.16</v>
      </c>
      <c r="X41" s="37">
        <v>158562.16</v>
      </c>
      <c r="Y41" s="37">
        <v>158562.16</v>
      </c>
      <c r="Z41" s="37">
        <f t="shared" ref="Z41:AE70" si="6">ROUND((($S41-SUM($U41:$Y41))/7),2)</f>
        <v>157080.01999999999</v>
      </c>
      <c r="AA41" s="37">
        <f t="shared" si="6"/>
        <v>157080.01999999999</v>
      </c>
      <c r="AB41" s="37">
        <f t="shared" si="6"/>
        <v>157080.01999999999</v>
      </c>
      <c r="AC41" s="37">
        <f t="shared" si="6"/>
        <v>157080.01999999999</v>
      </c>
      <c r="AD41" s="37">
        <f t="shared" si="6"/>
        <v>157080.01999999999</v>
      </c>
      <c r="AE41" s="37">
        <f t="shared" si="6"/>
        <v>157080.01999999999</v>
      </c>
      <c r="AF41" s="37">
        <f t="shared" si="3"/>
        <v>157080.0299999998</v>
      </c>
      <c r="AG41" s="37">
        <f t="shared" si="4"/>
        <v>1892370.95</v>
      </c>
      <c r="AH41" s="37" t="b">
        <f t="shared" si="5"/>
        <v>1</v>
      </c>
      <c r="AI41" s="37"/>
      <c r="AJ41" s="37"/>
      <c r="AK41" s="37"/>
      <c r="AL41" s="37"/>
      <c r="AM41" s="37"/>
      <c r="AN41" s="37"/>
      <c r="AO41" s="37"/>
      <c r="AP41" s="207"/>
      <c r="AR41" s="37"/>
      <c r="AS41" s="37"/>
      <c r="AT41" s="37"/>
      <c r="AU41" s="37"/>
      <c r="AV41" s="37"/>
      <c r="AW41" s="37"/>
      <c r="AX41" s="37"/>
      <c r="AY41" s="37"/>
      <c r="AZ41" s="37"/>
      <c r="BA41" s="64"/>
    </row>
    <row r="42" spans="1:53">
      <c r="A42" s="231">
        <v>4245</v>
      </c>
      <c r="B42" s="4">
        <v>103519</v>
      </c>
      <c r="C42" s="4" t="s">
        <v>335</v>
      </c>
      <c r="D42" s="4" t="s">
        <v>336</v>
      </c>
      <c r="E42" s="213" t="s">
        <v>6</v>
      </c>
      <c r="F42" s="248" t="s">
        <v>229</v>
      </c>
      <c r="G42" s="37"/>
      <c r="H42" s="270">
        <f>_xlfn.IFNA(VLOOKUP(A42,ISB!$A$4:$BY$454,67,FALSE),0)</f>
        <v>9564537.3896785062</v>
      </c>
      <c r="I42" s="270">
        <f>_xlfn.IFNA(VLOOKUP(A42,ISB!$A$4:$BY$454,72,FALSE),0)</f>
        <v>-24439.050000000003</v>
      </c>
      <c r="J42" s="271">
        <f>-_xlfn.IFNA(VLOOKUP(A42,ISB!$A$4:$BY$454,76,FALSE),0)</f>
        <v>-22895.859700000001</v>
      </c>
      <c r="K42" s="271">
        <f>_xlfn.IFNA(VLOOKUP(A42,ISB!$A$4:$BY$454,77,FALSE),0)</f>
        <v>9517202.4799785055</v>
      </c>
      <c r="L42" s="271">
        <f>_xlfn.IFNA(VLOOKUP(A42,'Post 16'!A:AC,13,FALSE),0)+_xlfn.IFNA(VLOOKUP(A42,'Post 16'!A:AC,17,FALSE),0)+(_xlfn.IFNA(VLOOKUP(A42,'Post 16'!A:AC,28,FALSE),0))</f>
        <v>1391739.6666666667</v>
      </c>
      <c r="M42" s="271">
        <f>VLOOKUP(A42,HN!A:P,16,FALSE)</f>
        <v>0</v>
      </c>
      <c r="N42" s="271">
        <f>VLOOKUP(A42,HN!A:T,20,FALSE)</f>
        <v>0</v>
      </c>
      <c r="O42" s="271">
        <f>VLOOKUP(A42,EY!A:O,15,FALSE)</f>
        <v>0</v>
      </c>
      <c r="P42" s="271">
        <f>-VLOOKUP(A42,Adjustments!A:M,11,FALSE)</f>
        <v>-36450</v>
      </c>
      <c r="Q42" s="273"/>
      <c r="R42" s="273"/>
      <c r="S42" s="273">
        <f t="shared" si="1"/>
        <v>10872492.146645172</v>
      </c>
      <c r="T42" s="37"/>
      <c r="U42" s="37">
        <v>909078.51</v>
      </c>
      <c r="V42" s="37">
        <v>909078.51</v>
      </c>
      <c r="W42" s="37">
        <v>909078.51</v>
      </c>
      <c r="X42" s="37">
        <v>909078.51</v>
      </c>
      <c r="Y42" s="37">
        <v>909078.51</v>
      </c>
      <c r="Z42" s="37">
        <f t="shared" si="6"/>
        <v>903871.37</v>
      </c>
      <c r="AA42" s="37">
        <f t="shared" si="6"/>
        <v>903871.37</v>
      </c>
      <c r="AB42" s="37">
        <f t="shared" si="6"/>
        <v>903871.37</v>
      </c>
      <c r="AC42" s="37">
        <f t="shared" si="6"/>
        <v>903871.37</v>
      </c>
      <c r="AD42" s="37">
        <f t="shared" si="6"/>
        <v>903871.37</v>
      </c>
      <c r="AE42" s="37">
        <f t="shared" si="6"/>
        <v>903871.37</v>
      </c>
      <c r="AF42" s="37">
        <f t="shared" si="3"/>
        <v>903871.37664517201</v>
      </c>
      <c r="AG42" s="37">
        <f t="shared" si="4"/>
        <v>10872492.146645172</v>
      </c>
      <c r="AH42" s="37" t="b">
        <f t="shared" si="5"/>
        <v>1</v>
      </c>
      <c r="AI42" s="37"/>
      <c r="AJ42" s="37"/>
      <c r="AK42" s="37"/>
      <c r="AL42" s="37"/>
      <c r="AM42" s="37"/>
      <c r="AN42" s="37"/>
      <c r="AO42" s="37"/>
      <c r="AP42" s="207"/>
      <c r="AR42" s="37"/>
      <c r="AS42" s="37"/>
      <c r="AT42" s="37"/>
      <c r="AU42" s="37"/>
      <c r="AV42" s="37"/>
      <c r="AW42" s="37"/>
      <c r="AX42" s="37"/>
      <c r="AY42" s="37"/>
      <c r="AZ42" s="37"/>
      <c r="BA42" s="64"/>
    </row>
    <row r="43" spans="1:53">
      <c r="A43" s="231">
        <v>7053</v>
      </c>
      <c r="B43" s="4">
        <v>103628</v>
      </c>
      <c r="C43" s="4" t="s">
        <v>338</v>
      </c>
      <c r="D43" s="4" t="s">
        <v>339</v>
      </c>
      <c r="E43" s="213" t="s">
        <v>1093</v>
      </c>
      <c r="F43" s="248" t="s">
        <v>229</v>
      </c>
      <c r="G43" s="37"/>
      <c r="H43" s="270">
        <f>_xlfn.IFNA(VLOOKUP(A43,ISB!$A$4:$BY$454,67,FALSE),0)</f>
        <v>0</v>
      </c>
      <c r="I43" s="270">
        <f>_xlfn.IFNA(VLOOKUP(A43,ISB!$A$4:$BY$454,72,FALSE),0)</f>
        <v>0</v>
      </c>
      <c r="J43" s="271">
        <f>-_xlfn.IFNA(VLOOKUP(A43,ISB!$A$4:$BY$454,76,FALSE),0)</f>
        <v>0</v>
      </c>
      <c r="K43" s="271">
        <f>_xlfn.IFNA(VLOOKUP(A43,ISB!$A$4:$BY$454,77,FALSE),0)</f>
        <v>0</v>
      </c>
      <c r="L43" s="271">
        <f>_xlfn.IFNA(VLOOKUP(A43,'Post 16'!A:AC,13,FALSE),0)+_xlfn.IFNA(VLOOKUP(A43,'Post 16'!A:AC,17,FALSE),0)+(_xlfn.IFNA(VLOOKUP(A43,'Post 16'!A:AC,28,FALSE),0))</f>
        <v>0</v>
      </c>
      <c r="M43" s="271">
        <f>VLOOKUP(A43,HN!A:P,16,FALSE)</f>
        <v>4183911.2981985277</v>
      </c>
      <c r="N43" s="271">
        <f>VLOOKUP(A43,HN!A:T,20,FALSE)</f>
        <v>0</v>
      </c>
      <c r="O43" s="271">
        <f>VLOOKUP(A43,EY!A:O,15,FALSE)</f>
        <v>0</v>
      </c>
      <c r="P43" s="271">
        <f>-VLOOKUP(A43,Adjustments!A:M,11,FALSE)</f>
        <v>-5139.75</v>
      </c>
      <c r="Q43" s="273"/>
      <c r="R43" s="273"/>
      <c r="S43" s="273">
        <f t="shared" si="1"/>
        <v>4178771.5481985277</v>
      </c>
      <c r="T43" s="37"/>
      <c r="U43" s="37">
        <v>348384.96</v>
      </c>
      <c r="V43" s="37">
        <v>348384.96</v>
      </c>
      <c r="W43" s="37">
        <v>348384.96</v>
      </c>
      <c r="X43" s="37">
        <v>348179.63</v>
      </c>
      <c r="Y43" s="37">
        <v>348179.63</v>
      </c>
      <c r="Z43" s="37">
        <f t="shared" si="6"/>
        <v>348179.63</v>
      </c>
      <c r="AA43" s="37">
        <f t="shared" si="6"/>
        <v>348179.63</v>
      </c>
      <c r="AB43" s="37">
        <f t="shared" si="6"/>
        <v>348179.63</v>
      </c>
      <c r="AC43" s="37">
        <f t="shared" si="6"/>
        <v>348179.63</v>
      </c>
      <c r="AD43" s="37">
        <f t="shared" si="6"/>
        <v>348179.63</v>
      </c>
      <c r="AE43" s="37">
        <f t="shared" si="6"/>
        <v>348179.63</v>
      </c>
      <c r="AF43" s="37">
        <f t="shared" si="3"/>
        <v>348179.6281985282</v>
      </c>
      <c r="AG43" s="37">
        <f t="shared" si="4"/>
        <v>4178771.5481985277</v>
      </c>
      <c r="AH43" s="37" t="b">
        <f t="shared" si="5"/>
        <v>1</v>
      </c>
      <c r="AI43" s="37"/>
      <c r="AJ43" s="37"/>
      <c r="AK43" s="37"/>
      <c r="AL43" s="37"/>
      <c r="AM43" s="37"/>
      <c r="AN43" s="37"/>
      <c r="AO43" s="37"/>
      <c r="AP43" s="207"/>
      <c r="AR43" s="37"/>
      <c r="AS43" s="37"/>
      <c r="AT43" s="37"/>
      <c r="AU43" s="37"/>
      <c r="AV43" s="37"/>
      <c r="AW43" s="37"/>
      <c r="AX43" s="37"/>
      <c r="AY43" s="37"/>
      <c r="AZ43" s="37"/>
      <c r="BA43" s="64"/>
    </row>
    <row r="44" spans="1:53">
      <c r="A44" s="231">
        <v>4173</v>
      </c>
      <c r="B44" s="4">
        <v>103497</v>
      </c>
      <c r="C44" s="4" t="s">
        <v>341</v>
      </c>
      <c r="D44" s="4" t="s">
        <v>342</v>
      </c>
      <c r="E44" s="213" t="s">
        <v>6</v>
      </c>
      <c r="F44" s="248" t="s">
        <v>229</v>
      </c>
      <c r="G44" s="37"/>
      <c r="H44" s="270">
        <f>_xlfn.IFNA(VLOOKUP(A44,ISB!$A$4:$BY$454,67,FALSE),0)</f>
        <v>6467425.0710963113</v>
      </c>
      <c r="I44" s="270">
        <f>_xlfn.IFNA(VLOOKUP(A44,ISB!$A$4:$BY$454,72,FALSE),0)</f>
        <v>-17627.850000000002</v>
      </c>
      <c r="J44" s="271">
        <f>-_xlfn.IFNA(VLOOKUP(A44,ISB!$A$4:$BY$454,76,FALSE),0)</f>
        <v>-76319.539199999999</v>
      </c>
      <c r="K44" s="271">
        <f>_xlfn.IFNA(VLOOKUP(A44,ISB!$A$4:$BY$454,77,FALSE),0)</f>
        <v>6373477.6818963122</v>
      </c>
      <c r="L44" s="271">
        <f>_xlfn.IFNA(VLOOKUP(A44,'Post 16'!A:AC,13,FALSE),0)+_xlfn.IFNA(VLOOKUP(A44,'Post 16'!A:AC,17,FALSE),0)+(_xlfn.IFNA(VLOOKUP(A44,'Post 16'!A:AC,28,FALSE),0))</f>
        <v>0</v>
      </c>
      <c r="M44" s="271">
        <f>VLOOKUP(A44,HN!A:P,16,FALSE)</f>
        <v>0</v>
      </c>
      <c r="N44" s="271">
        <f>VLOOKUP(A44,HN!A:T,20,FALSE)</f>
        <v>0</v>
      </c>
      <c r="O44" s="271">
        <f>VLOOKUP(A44,EY!A:O,15,FALSE)</f>
        <v>0</v>
      </c>
      <c r="P44" s="271">
        <f>-VLOOKUP(A44,Adjustments!A:M,11,FALSE)</f>
        <v>-24312.75</v>
      </c>
      <c r="Q44" s="273"/>
      <c r="R44" s="273"/>
      <c r="S44" s="273">
        <f t="shared" si="1"/>
        <v>6349164.9318963122</v>
      </c>
      <c r="T44" s="37"/>
      <c r="U44" s="37">
        <v>529097.07999999996</v>
      </c>
      <c r="V44" s="37">
        <v>529097.07999999996</v>
      </c>
      <c r="W44" s="37">
        <v>529097.07999999996</v>
      </c>
      <c r="X44" s="37">
        <v>529097.07999999996</v>
      </c>
      <c r="Y44" s="37">
        <v>529097.07999999996</v>
      </c>
      <c r="Z44" s="37">
        <f t="shared" si="6"/>
        <v>529097.07999999996</v>
      </c>
      <c r="AA44" s="37">
        <f t="shared" si="6"/>
        <v>529097.07999999996</v>
      </c>
      <c r="AB44" s="37">
        <f t="shared" si="6"/>
        <v>529097.07999999996</v>
      </c>
      <c r="AC44" s="37">
        <f t="shared" si="6"/>
        <v>529097.07999999996</v>
      </c>
      <c r="AD44" s="37">
        <f t="shared" si="6"/>
        <v>529097.07999999996</v>
      </c>
      <c r="AE44" s="37">
        <f t="shared" si="6"/>
        <v>529097.07999999996</v>
      </c>
      <c r="AF44" s="37">
        <f t="shared" si="3"/>
        <v>529097.05189631227</v>
      </c>
      <c r="AG44" s="37">
        <f t="shared" si="4"/>
        <v>6349164.9318963122</v>
      </c>
      <c r="AH44" s="37" t="b">
        <f t="shared" si="5"/>
        <v>1</v>
      </c>
      <c r="AI44" s="37"/>
      <c r="AJ44" s="37"/>
      <c r="AK44" s="37"/>
      <c r="AL44" s="37"/>
      <c r="AM44" s="37"/>
      <c r="AN44" s="37"/>
      <c r="AO44" s="37"/>
      <c r="AP44" s="207"/>
      <c r="AR44" s="37"/>
      <c r="AS44" s="37"/>
      <c r="AT44" s="37"/>
      <c r="AU44" s="37"/>
      <c r="AV44" s="37"/>
      <c r="AW44" s="37"/>
      <c r="AX44" s="37"/>
      <c r="AY44" s="37"/>
      <c r="AZ44" s="37"/>
      <c r="BA44" s="64"/>
    </row>
    <row r="45" spans="1:53">
      <c r="A45" s="231">
        <v>7033</v>
      </c>
      <c r="B45" s="4">
        <v>103613</v>
      </c>
      <c r="C45" s="4" t="s">
        <v>344</v>
      </c>
      <c r="D45" s="4" t="s">
        <v>345</v>
      </c>
      <c r="E45" s="213" t="s">
        <v>1093</v>
      </c>
      <c r="F45" s="248" t="s">
        <v>229</v>
      </c>
      <c r="G45" s="37"/>
      <c r="H45" s="270">
        <f>_xlfn.IFNA(VLOOKUP(A45,ISB!$A$4:$BY$454,67,FALSE),0)</f>
        <v>0</v>
      </c>
      <c r="I45" s="270">
        <f>_xlfn.IFNA(VLOOKUP(A45,ISB!$A$4:$BY$454,72,FALSE),0)</f>
        <v>0</v>
      </c>
      <c r="J45" s="271">
        <f>-_xlfn.IFNA(VLOOKUP(A45,ISB!$A$4:$BY$454,76,FALSE),0)</f>
        <v>0</v>
      </c>
      <c r="K45" s="271">
        <f>_xlfn.IFNA(VLOOKUP(A45,ISB!$A$4:$BY$454,77,FALSE),0)</f>
        <v>0</v>
      </c>
      <c r="L45" s="271">
        <f>_xlfn.IFNA(VLOOKUP(A45,'Post 16'!A:AC,13,FALSE),0)+_xlfn.IFNA(VLOOKUP(A45,'Post 16'!A:AC,17,FALSE),0)+(_xlfn.IFNA(VLOOKUP(A45,'Post 16'!A:AC,28,FALSE),0))</f>
        <v>0</v>
      </c>
      <c r="M45" s="271">
        <f>VLOOKUP(A45,HN!A:P,16,FALSE)</f>
        <v>6887576.7983150911</v>
      </c>
      <c r="N45" s="271">
        <f>VLOOKUP(A45,HN!A:T,20,FALSE)</f>
        <v>0</v>
      </c>
      <c r="O45" s="271">
        <f>VLOOKUP(A45,EY!A:O,15,FALSE)</f>
        <v>0</v>
      </c>
      <c r="P45" s="271">
        <f>-VLOOKUP(A45,Adjustments!A:M,11,FALSE)</f>
        <v>-9471</v>
      </c>
      <c r="Q45" s="273"/>
      <c r="R45" s="273"/>
      <c r="S45" s="273">
        <f t="shared" si="1"/>
        <v>6878105.7983150911</v>
      </c>
      <c r="T45" s="37"/>
      <c r="U45" s="37">
        <v>573690.42000000004</v>
      </c>
      <c r="V45" s="37">
        <v>573690.42000000004</v>
      </c>
      <c r="W45" s="37">
        <v>573690.42000000004</v>
      </c>
      <c r="X45" s="37">
        <v>573003.84</v>
      </c>
      <c r="Y45" s="37">
        <v>573003.84</v>
      </c>
      <c r="Z45" s="37">
        <f t="shared" si="6"/>
        <v>573003.84</v>
      </c>
      <c r="AA45" s="37">
        <f t="shared" si="6"/>
        <v>573003.84</v>
      </c>
      <c r="AB45" s="37">
        <f t="shared" si="6"/>
        <v>573003.84</v>
      </c>
      <c r="AC45" s="37">
        <f t="shared" si="6"/>
        <v>573003.84</v>
      </c>
      <c r="AD45" s="37">
        <f t="shared" si="6"/>
        <v>573003.84</v>
      </c>
      <c r="AE45" s="37">
        <f t="shared" si="6"/>
        <v>573003.84</v>
      </c>
      <c r="AF45" s="37">
        <f t="shared" si="3"/>
        <v>573003.81831509154</v>
      </c>
      <c r="AG45" s="37">
        <f t="shared" si="4"/>
        <v>6878105.7983150911</v>
      </c>
      <c r="AH45" s="37" t="b">
        <f t="shared" si="5"/>
        <v>1</v>
      </c>
      <c r="AI45" s="37"/>
      <c r="AJ45" s="37"/>
      <c r="AK45" s="37"/>
      <c r="AL45" s="37"/>
      <c r="AM45" s="37"/>
      <c r="AN45" s="37"/>
      <c r="AO45" s="37"/>
      <c r="AP45" s="207"/>
      <c r="AR45" s="37"/>
      <c r="AS45" s="37"/>
      <c r="AT45" s="37"/>
      <c r="AU45" s="37"/>
      <c r="AV45" s="37"/>
      <c r="AW45" s="37"/>
      <c r="AX45" s="37"/>
      <c r="AY45" s="37"/>
      <c r="AZ45" s="37"/>
      <c r="BA45" s="64"/>
    </row>
    <row r="46" spans="1:53">
      <c r="A46" s="231">
        <v>4177</v>
      </c>
      <c r="B46" s="4">
        <v>103498</v>
      </c>
      <c r="C46" s="4" t="s">
        <v>347</v>
      </c>
      <c r="D46" s="4" t="s">
        <v>348</v>
      </c>
      <c r="E46" s="213" t="s">
        <v>6</v>
      </c>
      <c r="F46" s="248" t="s">
        <v>229</v>
      </c>
      <c r="G46" s="37"/>
      <c r="H46" s="270">
        <f>_xlfn.IFNA(VLOOKUP(A46,ISB!$A$4:$BY$454,67,FALSE),0)</f>
        <v>6155540.7750152173</v>
      </c>
      <c r="I46" s="270">
        <f>_xlfn.IFNA(VLOOKUP(A46,ISB!$A$4:$BY$454,72,FALSE),0)</f>
        <v>-15886.35</v>
      </c>
      <c r="J46" s="271">
        <f>-_xlfn.IFNA(VLOOKUP(A46,ISB!$A$4:$BY$454,76,FALSE),0)</f>
        <v>-104939.3664</v>
      </c>
      <c r="K46" s="271">
        <f>_xlfn.IFNA(VLOOKUP(A46,ISB!$A$4:$BY$454,77,FALSE),0)</f>
        <v>6034715.0586152179</v>
      </c>
      <c r="L46" s="271">
        <f>_xlfn.IFNA(VLOOKUP(A46,'Post 16'!A:AC,13,FALSE),0)+_xlfn.IFNA(VLOOKUP(A46,'Post 16'!A:AC,17,FALSE),0)+(_xlfn.IFNA(VLOOKUP(A46,'Post 16'!A:AC,28,FALSE),0))</f>
        <v>0</v>
      </c>
      <c r="M46" s="271">
        <f>VLOOKUP(A46,HN!A:P,16,FALSE)</f>
        <v>0</v>
      </c>
      <c r="N46" s="271">
        <f>VLOOKUP(A46,HN!A:T,20,FALSE)</f>
        <v>0</v>
      </c>
      <c r="O46" s="271">
        <f>VLOOKUP(A46,EY!A:O,15,FALSE)</f>
        <v>0</v>
      </c>
      <c r="P46" s="271">
        <f>-VLOOKUP(A46,Adjustments!A:M,11,FALSE)</f>
        <v>-24312.75</v>
      </c>
      <c r="Q46" s="273"/>
      <c r="R46" s="273"/>
      <c r="S46" s="273">
        <f t="shared" si="1"/>
        <v>6010402.3086152179</v>
      </c>
      <c r="T46" s="37"/>
      <c r="U46" s="37">
        <v>500866.86</v>
      </c>
      <c r="V46" s="37">
        <v>500866.86</v>
      </c>
      <c r="W46" s="37">
        <v>500866.86</v>
      </c>
      <c r="X46" s="37">
        <v>500866.86</v>
      </c>
      <c r="Y46" s="37">
        <v>500866.86</v>
      </c>
      <c r="Z46" s="37">
        <f t="shared" si="6"/>
        <v>500866.86</v>
      </c>
      <c r="AA46" s="37">
        <f t="shared" si="6"/>
        <v>500866.86</v>
      </c>
      <c r="AB46" s="37">
        <f t="shared" si="6"/>
        <v>500866.86</v>
      </c>
      <c r="AC46" s="37">
        <f t="shared" si="6"/>
        <v>500866.86</v>
      </c>
      <c r="AD46" s="37">
        <f t="shared" si="6"/>
        <v>500866.86</v>
      </c>
      <c r="AE46" s="37">
        <f t="shared" si="6"/>
        <v>500866.86</v>
      </c>
      <c r="AF46" s="37">
        <f t="shared" si="3"/>
        <v>500866.84861521795</v>
      </c>
      <c r="AG46" s="37">
        <f t="shared" si="4"/>
        <v>6010402.3086152179</v>
      </c>
      <c r="AH46" s="37" t="b">
        <f t="shared" si="5"/>
        <v>1</v>
      </c>
      <c r="AI46" s="37"/>
      <c r="AJ46" s="37"/>
      <c r="AK46" s="37"/>
      <c r="AL46" s="37"/>
      <c r="AM46" s="37"/>
      <c r="AN46" s="37"/>
      <c r="AO46" s="37"/>
      <c r="AP46" s="207"/>
      <c r="AR46" s="37"/>
      <c r="AS46" s="37"/>
      <c r="AT46" s="37"/>
      <c r="AU46" s="37"/>
      <c r="AV46" s="37"/>
      <c r="AW46" s="37"/>
      <c r="AX46" s="37"/>
      <c r="AY46" s="37"/>
      <c r="AZ46" s="37"/>
      <c r="BA46" s="64"/>
    </row>
    <row r="47" spans="1:53">
      <c r="A47" s="231">
        <v>1038</v>
      </c>
      <c r="B47" s="4">
        <v>103142</v>
      </c>
      <c r="C47" s="4" t="s">
        <v>350</v>
      </c>
      <c r="D47" s="4" t="s">
        <v>351</v>
      </c>
      <c r="E47" s="213" t="s">
        <v>180</v>
      </c>
      <c r="F47" s="248" t="s">
        <v>229</v>
      </c>
      <c r="G47" s="37"/>
      <c r="H47" s="270">
        <f>_xlfn.IFNA(VLOOKUP(A47,ISB!$A$4:$BY$454,67,FALSE),0)</f>
        <v>0</v>
      </c>
      <c r="I47" s="270">
        <f>_xlfn.IFNA(VLOOKUP(A47,ISB!$A$4:$BY$454,72,FALSE),0)</f>
        <v>0</v>
      </c>
      <c r="J47" s="271">
        <f>-_xlfn.IFNA(VLOOKUP(A47,ISB!$A$4:$BY$454,76,FALSE),0)</f>
        <v>0</v>
      </c>
      <c r="K47" s="271">
        <f>_xlfn.IFNA(VLOOKUP(A47,ISB!$A$4:$BY$454,77,FALSE),0)</f>
        <v>0</v>
      </c>
      <c r="L47" s="271">
        <f>_xlfn.IFNA(VLOOKUP(A47,'Post 16'!A:AC,13,FALSE),0)+_xlfn.IFNA(VLOOKUP(A47,'Post 16'!A:AC,17,FALSE),0)+(_xlfn.IFNA(VLOOKUP(A47,'Post 16'!A:AC,28,FALSE),0))</f>
        <v>0</v>
      </c>
      <c r="M47" s="271">
        <f>VLOOKUP(A47,HN!A:P,16,FALSE)</f>
        <v>0</v>
      </c>
      <c r="N47" s="271">
        <f>VLOOKUP(A47,HN!A:T,20,FALSE)</f>
        <v>0</v>
      </c>
      <c r="O47" s="271">
        <f>VLOOKUP(A47,EY!A:O,15,FALSE)</f>
        <v>843986.12333333329</v>
      </c>
      <c r="P47" s="271">
        <f>-VLOOKUP(A47,Adjustments!A:M,11,FALSE)</f>
        <v>-3291.75</v>
      </c>
      <c r="Q47" s="273"/>
      <c r="R47" s="273"/>
      <c r="S47" s="273">
        <f t="shared" si="1"/>
        <v>840694.37333333329</v>
      </c>
      <c r="T47" s="37"/>
      <c r="U47" s="37">
        <v>62210.61</v>
      </c>
      <c r="V47" s="37">
        <v>62210.61</v>
      </c>
      <c r="W47" s="37">
        <v>62210.61</v>
      </c>
      <c r="X47" s="37">
        <v>72673.62</v>
      </c>
      <c r="Y47" s="37">
        <v>72673.62</v>
      </c>
      <c r="Z47" s="37">
        <f t="shared" si="6"/>
        <v>72673.61</v>
      </c>
      <c r="AA47" s="37">
        <f t="shared" si="6"/>
        <v>72673.61</v>
      </c>
      <c r="AB47" s="37">
        <f t="shared" si="6"/>
        <v>72673.61</v>
      </c>
      <c r="AC47" s="37">
        <f t="shared" si="6"/>
        <v>72673.61</v>
      </c>
      <c r="AD47" s="37">
        <f t="shared" si="6"/>
        <v>72673.61</v>
      </c>
      <c r="AE47" s="37">
        <f t="shared" si="6"/>
        <v>72673.61</v>
      </c>
      <c r="AF47" s="37">
        <f t="shared" si="3"/>
        <v>72673.643333333312</v>
      </c>
      <c r="AG47" s="37">
        <f t="shared" si="4"/>
        <v>840694.37333333329</v>
      </c>
      <c r="AH47" s="37" t="b">
        <f t="shared" si="5"/>
        <v>1</v>
      </c>
      <c r="AI47" s="37"/>
      <c r="AJ47" s="37"/>
      <c r="AK47" s="37"/>
      <c r="AL47" s="37"/>
      <c r="AM47" s="37"/>
      <c r="AN47" s="37"/>
      <c r="AO47" s="37"/>
      <c r="AP47" s="207"/>
      <c r="AR47" s="37"/>
      <c r="AS47" s="37"/>
      <c r="AT47" s="37"/>
      <c r="AU47" s="37"/>
      <c r="AV47" s="37"/>
      <c r="AW47" s="37"/>
      <c r="AX47" s="37"/>
      <c r="AY47" s="37"/>
      <c r="AZ47" s="37"/>
      <c r="BA47" s="64"/>
    </row>
    <row r="48" spans="1:53">
      <c r="A48" s="231">
        <v>2174</v>
      </c>
      <c r="B48" s="4">
        <v>103255</v>
      </c>
      <c r="C48" s="4" t="s">
        <v>353</v>
      </c>
      <c r="D48" s="4" t="s">
        <v>354</v>
      </c>
      <c r="E48" s="213" t="s">
        <v>5</v>
      </c>
      <c r="F48" s="248" t="s">
        <v>229</v>
      </c>
      <c r="G48" s="37"/>
      <c r="H48" s="270">
        <f>_xlfn.IFNA(VLOOKUP(A48,ISB!$A$4:$BY$454,67,FALSE),0)</f>
        <v>1830213.0673555797</v>
      </c>
      <c r="I48" s="270">
        <f>_xlfn.IFNA(VLOOKUP(A48,ISB!$A$4:$BY$454,72,FALSE),0)</f>
        <v>-8323.24</v>
      </c>
      <c r="J48" s="271">
        <f>-_xlfn.IFNA(VLOOKUP(A48,ISB!$A$4:$BY$454,76,FALSE),0)</f>
        <v>-20532.462899999999</v>
      </c>
      <c r="K48" s="271">
        <f>_xlfn.IFNA(VLOOKUP(A48,ISB!$A$4:$BY$454,77,FALSE),0)</f>
        <v>1801357.3644555798</v>
      </c>
      <c r="L48" s="271">
        <f>_xlfn.IFNA(VLOOKUP(A48,'Post 16'!A:AC,13,FALSE),0)+_xlfn.IFNA(VLOOKUP(A48,'Post 16'!A:AC,17,FALSE),0)+(_xlfn.IFNA(VLOOKUP(A48,'Post 16'!A:AC,28,FALSE),0))</f>
        <v>0</v>
      </c>
      <c r="M48" s="271">
        <f>VLOOKUP(A48,HN!A:P,16,FALSE)</f>
        <v>0</v>
      </c>
      <c r="N48" s="271">
        <f>VLOOKUP(A48,HN!A:T,20,FALSE)</f>
        <v>0</v>
      </c>
      <c r="O48" s="271">
        <f>VLOOKUP(A48,EY!A:O,15,FALSE)</f>
        <v>0</v>
      </c>
      <c r="P48" s="271">
        <f>-VLOOKUP(A48,Adjustments!A:M,11,FALSE)</f>
        <v>-8300</v>
      </c>
      <c r="Q48" s="273"/>
      <c r="R48" s="273"/>
      <c r="S48" s="273">
        <f t="shared" si="1"/>
        <v>1793057.3644555798</v>
      </c>
      <c r="T48" s="37"/>
      <c r="U48" s="37">
        <v>150113.10999999999</v>
      </c>
      <c r="V48" s="37">
        <v>150113.10999999999</v>
      </c>
      <c r="W48" s="37">
        <v>150113.10999999999</v>
      </c>
      <c r="X48" s="37">
        <v>150113.10999999999</v>
      </c>
      <c r="Y48" s="37">
        <v>150113.12</v>
      </c>
      <c r="Z48" s="37">
        <f t="shared" si="6"/>
        <v>148927.4</v>
      </c>
      <c r="AA48" s="37">
        <f t="shared" si="6"/>
        <v>148927.4</v>
      </c>
      <c r="AB48" s="37">
        <f t="shared" si="6"/>
        <v>148927.4</v>
      </c>
      <c r="AC48" s="37">
        <f t="shared" si="6"/>
        <v>148927.4</v>
      </c>
      <c r="AD48" s="37">
        <f t="shared" si="6"/>
        <v>148927.4</v>
      </c>
      <c r="AE48" s="37">
        <f t="shared" si="6"/>
        <v>148927.4</v>
      </c>
      <c r="AF48" s="37">
        <f t="shared" si="3"/>
        <v>148927.40445558005</v>
      </c>
      <c r="AG48" s="37">
        <f t="shared" si="4"/>
        <v>1793057.3644555798</v>
      </c>
      <c r="AH48" s="37" t="b">
        <f t="shared" si="5"/>
        <v>1</v>
      </c>
      <c r="AI48" s="37"/>
      <c r="AJ48" s="37"/>
      <c r="AK48" s="37"/>
      <c r="AL48" s="37"/>
      <c r="AM48" s="37"/>
      <c r="AN48" s="37"/>
      <c r="AO48" s="37"/>
      <c r="AP48" s="207"/>
      <c r="AR48" s="37"/>
      <c r="AS48" s="37"/>
      <c r="AT48" s="37"/>
      <c r="AU48" s="37"/>
      <c r="AV48" s="37"/>
      <c r="AW48" s="37"/>
      <c r="AX48" s="37"/>
      <c r="AY48" s="37"/>
      <c r="AZ48" s="37"/>
      <c r="BA48" s="64"/>
    </row>
    <row r="49" spans="1:53">
      <c r="A49" s="231">
        <v>3363</v>
      </c>
      <c r="B49" s="4">
        <v>103455</v>
      </c>
      <c r="C49" s="4" t="s">
        <v>356</v>
      </c>
      <c r="D49" s="4" t="s">
        <v>357</v>
      </c>
      <c r="E49" s="213" t="s">
        <v>5</v>
      </c>
      <c r="F49" s="248" t="s">
        <v>229</v>
      </c>
      <c r="G49" s="37"/>
      <c r="H49" s="270">
        <f>_xlfn.IFNA(VLOOKUP(A49,ISB!$A$4:$BY$454,67,FALSE),0)</f>
        <v>1644027.3645197353</v>
      </c>
      <c r="I49" s="270">
        <f>_xlfn.IFNA(VLOOKUP(A49,ISB!$A$4:$BY$454,72,FALSE),0)</f>
        <v>-8072.54</v>
      </c>
      <c r="J49" s="271">
        <f>-_xlfn.IFNA(VLOOKUP(A49,ISB!$A$4:$BY$454,76,FALSE),0)</f>
        <v>-3073.9834999999998</v>
      </c>
      <c r="K49" s="271">
        <f>_xlfn.IFNA(VLOOKUP(A49,ISB!$A$4:$BY$454,77,FALSE),0)</f>
        <v>1632880.8410197352</v>
      </c>
      <c r="L49" s="271">
        <f>_xlfn.IFNA(VLOOKUP(A49,'Post 16'!A:AC,13,FALSE),0)+_xlfn.IFNA(VLOOKUP(A49,'Post 16'!A:AC,17,FALSE),0)+(_xlfn.IFNA(VLOOKUP(A49,'Post 16'!A:AC,28,FALSE),0))</f>
        <v>0</v>
      </c>
      <c r="M49" s="271">
        <f>VLOOKUP(A49,HN!A:P,16,FALSE)</f>
        <v>0</v>
      </c>
      <c r="N49" s="271">
        <f>VLOOKUP(A49,HN!A:T,20,FALSE)</f>
        <v>0</v>
      </c>
      <c r="O49" s="271">
        <f>VLOOKUP(A49,EY!A:O,15,FALSE)</f>
        <v>75048.400000000009</v>
      </c>
      <c r="P49" s="271">
        <f>-VLOOKUP(A49,Adjustments!A:M,11,FALSE)</f>
        <v>-9471</v>
      </c>
      <c r="Q49" s="273"/>
      <c r="R49" s="273"/>
      <c r="S49" s="273">
        <f t="shared" si="1"/>
        <v>1698458.2410197351</v>
      </c>
      <c r="T49" s="37"/>
      <c r="U49" s="37">
        <v>142127.06</v>
      </c>
      <c r="V49" s="37">
        <v>142127.06</v>
      </c>
      <c r="W49" s="37">
        <v>142127.06</v>
      </c>
      <c r="X49" s="37">
        <v>141341.9</v>
      </c>
      <c r="Y49" s="37">
        <v>141341.9</v>
      </c>
      <c r="Z49" s="37">
        <f t="shared" si="6"/>
        <v>141341.89000000001</v>
      </c>
      <c r="AA49" s="37">
        <f t="shared" si="6"/>
        <v>141341.89000000001</v>
      </c>
      <c r="AB49" s="37">
        <f t="shared" si="6"/>
        <v>141341.89000000001</v>
      </c>
      <c r="AC49" s="37">
        <f t="shared" si="6"/>
        <v>141341.89000000001</v>
      </c>
      <c r="AD49" s="37">
        <f t="shared" si="6"/>
        <v>141341.89000000001</v>
      </c>
      <c r="AE49" s="37">
        <f t="shared" si="6"/>
        <v>141341.89000000001</v>
      </c>
      <c r="AF49" s="37">
        <f t="shared" si="3"/>
        <v>141341.92101973481</v>
      </c>
      <c r="AG49" s="37">
        <f t="shared" si="4"/>
        <v>1698458.2410197351</v>
      </c>
      <c r="AH49" s="37" t="b">
        <f t="shared" si="5"/>
        <v>1</v>
      </c>
      <c r="AI49" s="37"/>
      <c r="AJ49" s="37"/>
      <c r="AK49" s="37"/>
      <c r="AL49" s="37"/>
      <c r="AM49" s="37"/>
      <c r="AN49" s="37"/>
      <c r="AO49" s="37"/>
      <c r="AP49" s="207"/>
      <c r="AR49" s="37"/>
      <c r="AS49" s="37"/>
      <c r="AT49" s="37"/>
      <c r="AU49" s="37"/>
      <c r="AV49" s="37"/>
      <c r="AW49" s="37"/>
      <c r="AX49" s="37"/>
      <c r="AY49" s="37"/>
      <c r="AZ49" s="37"/>
      <c r="BA49" s="64"/>
    </row>
    <row r="50" spans="1:53">
      <c r="A50" s="231">
        <v>3377</v>
      </c>
      <c r="B50" s="4">
        <v>103463</v>
      </c>
      <c r="C50" s="4" t="s">
        <v>359</v>
      </c>
      <c r="D50" s="4" t="s">
        <v>360</v>
      </c>
      <c r="E50" s="213" t="s">
        <v>5</v>
      </c>
      <c r="F50" s="248" t="s">
        <v>229</v>
      </c>
      <c r="G50" s="37"/>
      <c r="H50" s="270">
        <f>_xlfn.IFNA(VLOOKUP(A50,ISB!$A$4:$BY$454,67,FALSE),0)</f>
        <v>1168791.8444634597</v>
      </c>
      <c r="I50" s="270">
        <f>_xlfn.IFNA(VLOOKUP(A50,ISB!$A$4:$BY$454,72,FALSE),0)</f>
        <v>-4738.2300000000005</v>
      </c>
      <c r="J50" s="271">
        <f>-_xlfn.IFNA(VLOOKUP(A50,ISB!$A$4:$BY$454,76,FALSE),0)</f>
        <v>-4080.9733000000001</v>
      </c>
      <c r="K50" s="271">
        <f>_xlfn.IFNA(VLOOKUP(A50,ISB!$A$4:$BY$454,77,FALSE),0)</f>
        <v>1159972.6411634597</v>
      </c>
      <c r="L50" s="271">
        <f>_xlfn.IFNA(VLOOKUP(A50,'Post 16'!A:AC,13,FALSE),0)+_xlfn.IFNA(VLOOKUP(A50,'Post 16'!A:AC,17,FALSE),0)+(_xlfn.IFNA(VLOOKUP(A50,'Post 16'!A:AC,28,FALSE),0))</f>
        <v>0</v>
      </c>
      <c r="M50" s="271">
        <f>VLOOKUP(A50,HN!A:P,16,FALSE)</f>
        <v>0</v>
      </c>
      <c r="N50" s="271">
        <f>VLOOKUP(A50,HN!A:T,20,FALSE)</f>
        <v>0</v>
      </c>
      <c r="O50" s="271">
        <f>VLOOKUP(A50,EY!A:O,15,FALSE)</f>
        <v>63683.700000000004</v>
      </c>
      <c r="P50" s="271">
        <f>-VLOOKUP(A50,Adjustments!A:M,11,FALSE)</f>
        <v>0</v>
      </c>
      <c r="Q50" s="273"/>
      <c r="R50" s="273"/>
      <c r="S50" s="273">
        <f t="shared" si="1"/>
        <v>1223656.3411634597</v>
      </c>
      <c r="T50" s="37"/>
      <c r="U50" s="37">
        <v>100618.39</v>
      </c>
      <c r="V50" s="37">
        <v>100618.39</v>
      </c>
      <c r="W50" s="37">
        <v>100618.39</v>
      </c>
      <c r="X50" s="37">
        <v>102422.35</v>
      </c>
      <c r="Y50" s="37">
        <v>102422.35</v>
      </c>
      <c r="Z50" s="37">
        <f t="shared" si="6"/>
        <v>102422.35</v>
      </c>
      <c r="AA50" s="37">
        <f t="shared" si="6"/>
        <v>102422.35</v>
      </c>
      <c r="AB50" s="37">
        <f t="shared" si="6"/>
        <v>102422.35</v>
      </c>
      <c r="AC50" s="37">
        <f t="shared" si="6"/>
        <v>102422.35</v>
      </c>
      <c r="AD50" s="37">
        <f t="shared" si="6"/>
        <v>102422.35</v>
      </c>
      <c r="AE50" s="37">
        <f t="shared" si="6"/>
        <v>102422.35</v>
      </c>
      <c r="AF50" s="37">
        <f t="shared" si="3"/>
        <v>102422.37116345973</v>
      </c>
      <c r="AG50" s="37">
        <f t="shared" si="4"/>
        <v>1223656.3411634597</v>
      </c>
      <c r="AH50" s="37" t="b">
        <f t="shared" si="5"/>
        <v>1</v>
      </c>
      <c r="AI50" s="37"/>
      <c r="AJ50" s="37"/>
      <c r="AK50" s="37"/>
      <c r="AL50" s="37"/>
      <c r="AM50" s="37"/>
      <c r="AN50" s="37"/>
      <c r="AO50" s="37"/>
      <c r="AP50" s="207"/>
      <c r="AR50" s="37"/>
      <c r="AS50" s="37"/>
      <c r="AT50" s="37"/>
      <c r="AU50" s="37"/>
      <c r="AV50" s="37"/>
      <c r="AW50" s="37"/>
      <c r="AX50" s="37"/>
      <c r="AY50" s="37"/>
      <c r="AZ50" s="37"/>
      <c r="BA50" s="64"/>
    </row>
    <row r="51" spans="1:53">
      <c r="A51" s="231">
        <v>3371</v>
      </c>
      <c r="B51" s="4">
        <v>103459</v>
      </c>
      <c r="C51" s="4" t="s">
        <v>362</v>
      </c>
      <c r="D51" s="4" t="s">
        <v>363</v>
      </c>
      <c r="E51" s="213" t="s">
        <v>5</v>
      </c>
      <c r="F51" s="248" t="s">
        <v>229</v>
      </c>
      <c r="G51" s="37"/>
      <c r="H51" s="270">
        <f>_xlfn.IFNA(VLOOKUP(A51,ISB!$A$4:$BY$454,67,FALSE),0)</f>
        <v>1390076.9594305556</v>
      </c>
      <c r="I51" s="270">
        <f>_xlfn.IFNA(VLOOKUP(A51,ISB!$A$4:$BY$454,72,FALSE),0)</f>
        <v>-6643.55</v>
      </c>
      <c r="J51" s="271">
        <f>-_xlfn.IFNA(VLOOKUP(A51,ISB!$A$4:$BY$454,76,FALSE),0)</f>
        <v>-18761.882600000001</v>
      </c>
      <c r="K51" s="271">
        <f>_xlfn.IFNA(VLOOKUP(A51,ISB!$A$4:$BY$454,77,FALSE),0)</f>
        <v>1364671.5268305556</v>
      </c>
      <c r="L51" s="271">
        <f>_xlfn.IFNA(VLOOKUP(A51,'Post 16'!A:AC,13,FALSE),0)+_xlfn.IFNA(VLOOKUP(A51,'Post 16'!A:AC,17,FALSE),0)+(_xlfn.IFNA(VLOOKUP(A51,'Post 16'!A:AC,28,FALSE),0))</f>
        <v>0</v>
      </c>
      <c r="M51" s="271">
        <f>VLOOKUP(A51,HN!A:P,16,FALSE)</f>
        <v>0</v>
      </c>
      <c r="N51" s="271">
        <f>VLOOKUP(A51,HN!A:T,20,FALSE)</f>
        <v>0</v>
      </c>
      <c r="O51" s="271">
        <f>VLOOKUP(A51,EY!A:O,15,FALSE)</f>
        <v>0</v>
      </c>
      <c r="P51" s="271">
        <f>-VLOOKUP(A51,Adjustments!A:M,11,FALSE)</f>
        <v>-5139.75</v>
      </c>
      <c r="Q51" s="273"/>
      <c r="R51" s="273"/>
      <c r="S51" s="273">
        <f t="shared" si="1"/>
        <v>1359531.7768305556</v>
      </c>
      <c r="T51" s="37"/>
      <c r="U51" s="37">
        <v>113294.32</v>
      </c>
      <c r="V51" s="37">
        <v>113294.32</v>
      </c>
      <c r="W51" s="37">
        <v>113294.32</v>
      </c>
      <c r="X51" s="37">
        <v>113294.31</v>
      </c>
      <c r="Y51" s="37">
        <v>113294.31</v>
      </c>
      <c r="Z51" s="37">
        <f t="shared" si="6"/>
        <v>113294.31</v>
      </c>
      <c r="AA51" s="37">
        <f t="shared" si="6"/>
        <v>113294.31</v>
      </c>
      <c r="AB51" s="37">
        <f t="shared" si="6"/>
        <v>113294.31</v>
      </c>
      <c r="AC51" s="37">
        <f t="shared" si="6"/>
        <v>113294.31</v>
      </c>
      <c r="AD51" s="37">
        <f t="shared" si="6"/>
        <v>113294.31</v>
      </c>
      <c r="AE51" s="37">
        <f t="shared" si="6"/>
        <v>113294.31</v>
      </c>
      <c r="AF51" s="37">
        <f t="shared" si="3"/>
        <v>113294.33683055523</v>
      </c>
      <c r="AG51" s="37">
        <f t="shared" si="4"/>
        <v>1359531.7768305556</v>
      </c>
      <c r="AH51" s="37" t="b">
        <f t="shared" si="5"/>
        <v>1</v>
      </c>
      <c r="AI51" s="37"/>
      <c r="AJ51" s="37"/>
      <c r="AK51" s="37"/>
      <c r="AL51" s="37"/>
      <c r="AM51" s="37"/>
      <c r="AN51" s="37"/>
      <c r="AO51" s="37"/>
      <c r="AP51" s="207"/>
      <c r="AR51" s="37"/>
      <c r="AS51" s="37"/>
      <c r="AT51" s="37"/>
      <c r="AU51" s="37"/>
      <c r="AV51" s="37"/>
      <c r="AW51" s="37"/>
      <c r="AX51" s="37"/>
      <c r="AY51" s="37"/>
      <c r="AZ51" s="37"/>
      <c r="BA51" s="64"/>
    </row>
    <row r="52" spans="1:53">
      <c r="A52" s="231">
        <v>3016</v>
      </c>
      <c r="B52" s="4">
        <v>103404</v>
      </c>
      <c r="C52" s="4" t="s">
        <v>365</v>
      </c>
      <c r="D52" s="4" t="s">
        <v>366</v>
      </c>
      <c r="E52" s="213" t="s">
        <v>5</v>
      </c>
      <c r="F52" s="248" t="s">
        <v>229</v>
      </c>
      <c r="G52" s="37"/>
      <c r="H52" s="270">
        <f>_xlfn.IFNA(VLOOKUP(A52,ISB!$A$4:$BY$454,67,FALSE),0)</f>
        <v>1382338.1042249999</v>
      </c>
      <c r="I52" s="270">
        <f>_xlfn.IFNA(VLOOKUP(A52,ISB!$A$4:$BY$454,72,FALSE),0)</f>
        <v>-5264.7</v>
      </c>
      <c r="J52" s="271">
        <f>-_xlfn.IFNA(VLOOKUP(A52,ISB!$A$4:$BY$454,76,FALSE),0)</f>
        <v>-15625.3266</v>
      </c>
      <c r="K52" s="271">
        <f>_xlfn.IFNA(VLOOKUP(A52,ISB!$A$4:$BY$454,77,FALSE),0)</f>
        <v>1361448.0776249999</v>
      </c>
      <c r="L52" s="271">
        <f>_xlfn.IFNA(VLOOKUP(A52,'Post 16'!A:AC,13,FALSE),0)+_xlfn.IFNA(VLOOKUP(A52,'Post 16'!A:AC,17,FALSE),0)+(_xlfn.IFNA(VLOOKUP(A52,'Post 16'!A:AC,28,FALSE),0))</f>
        <v>0</v>
      </c>
      <c r="M52" s="271">
        <f>VLOOKUP(A52,HN!A:P,16,FALSE)</f>
        <v>0</v>
      </c>
      <c r="N52" s="271">
        <f>VLOOKUP(A52,HN!A:T,20,FALSE)</f>
        <v>0</v>
      </c>
      <c r="O52" s="271">
        <f>VLOOKUP(A52,EY!A:O,15,FALSE)</f>
        <v>0</v>
      </c>
      <c r="P52" s="271">
        <f>-VLOOKUP(A52,Adjustments!A:M,11,FALSE)</f>
        <v>-5139.75</v>
      </c>
      <c r="Q52" s="273"/>
      <c r="R52" s="273"/>
      <c r="S52" s="273">
        <f t="shared" si="1"/>
        <v>1356308.3276249999</v>
      </c>
      <c r="T52" s="37"/>
      <c r="U52" s="37">
        <v>113025.69</v>
      </c>
      <c r="V52" s="37">
        <v>113025.69</v>
      </c>
      <c r="W52" s="37">
        <v>113025.69</v>
      </c>
      <c r="X52" s="37">
        <v>113025.7</v>
      </c>
      <c r="Y52" s="37">
        <v>113025.69</v>
      </c>
      <c r="Z52" s="37">
        <f t="shared" si="6"/>
        <v>113025.7</v>
      </c>
      <c r="AA52" s="37">
        <f t="shared" si="6"/>
        <v>113025.7</v>
      </c>
      <c r="AB52" s="37">
        <f t="shared" si="6"/>
        <v>113025.7</v>
      </c>
      <c r="AC52" s="37">
        <f t="shared" si="6"/>
        <v>113025.7</v>
      </c>
      <c r="AD52" s="37">
        <f t="shared" si="6"/>
        <v>113025.7</v>
      </c>
      <c r="AE52" s="37">
        <f t="shared" si="6"/>
        <v>113025.7</v>
      </c>
      <c r="AF52" s="37">
        <f t="shared" si="3"/>
        <v>113025.66762500023</v>
      </c>
      <c r="AG52" s="37">
        <f t="shared" si="4"/>
        <v>1356308.3276249999</v>
      </c>
      <c r="AH52" s="37" t="b">
        <f t="shared" si="5"/>
        <v>1</v>
      </c>
      <c r="AI52" s="37"/>
      <c r="AJ52" s="37"/>
      <c r="AK52" s="37"/>
      <c r="AL52" s="37"/>
      <c r="AM52" s="37"/>
      <c r="AN52" s="37"/>
      <c r="AO52" s="37"/>
      <c r="AP52" s="207"/>
      <c r="AR52" s="37"/>
      <c r="AS52" s="37"/>
      <c r="AT52" s="37"/>
      <c r="AU52" s="37"/>
      <c r="AV52" s="37"/>
      <c r="AW52" s="37"/>
      <c r="AX52" s="37"/>
      <c r="AY52" s="37"/>
      <c r="AZ52" s="37"/>
      <c r="BA52" s="64"/>
    </row>
    <row r="53" spans="1:53">
      <c r="A53" s="231">
        <v>4606</v>
      </c>
      <c r="B53" s="4">
        <v>103531</v>
      </c>
      <c r="C53" s="4" t="s">
        <v>368</v>
      </c>
      <c r="D53" s="4" t="s">
        <v>369</v>
      </c>
      <c r="E53" s="213" t="s">
        <v>6</v>
      </c>
      <c r="F53" s="248" t="s">
        <v>229</v>
      </c>
      <c r="G53" s="37"/>
      <c r="H53" s="270">
        <f>_xlfn.IFNA(VLOOKUP(A53,ISB!$A$4:$BY$454,67,FALSE),0)</f>
        <v>5532355.3144609779</v>
      </c>
      <c r="I53" s="270">
        <f>_xlfn.IFNA(VLOOKUP(A53,ISB!$A$4:$BY$454,72,FALSE),0)</f>
        <v>-16021.800000000001</v>
      </c>
      <c r="J53" s="271">
        <f>-_xlfn.IFNA(VLOOKUP(A53,ISB!$A$4:$BY$454,76,FALSE),0)</f>
        <v>-14945.9077</v>
      </c>
      <c r="K53" s="271">
        <f>_xlfn.IFNA(VLOOKUP(A53,ISB!$A$4:$BY$454,77,FALSE),0)</f>
        <v>5501387.6067609778</v>
      </c>
      <c r="L53" s="271">
        <f>_xlfn.IFNA(VLOOKUP(A53,'Post 16'!A:AC,13,FALSE),0)+_xlfn.IFNA(VLOOKUP(A53,'Post 16'!A:AC,17,FALSE),0)+(_xlfn.IFNA(VLOOKUP(A53,'Post 16'!A:AC,28,FALSE),0))</f>
        <v>1156630.3333333335</v>
      </c>
      <c r="M53" s="271">
        <f>VLOOKUP(A53,HN!A:P,16,FALSE)</f>
        <v>0</v>
      </c>
      <c r="N53" s="271">
        <f>VLOOKUP(A53,HN!A:T,20,FALSE)</f>
        <v>0</v>
      </c>
      <c r="O53" s="271">
        <f>VLOOKUP(A53,EY!A:O,15,FALSE)</f>
        <v>0</v>
      </c>
      <c r="P53" s="271">
        <f>-VLOOKUP(A53,Adjustments!A:M,11,FALSE)</f>
        <v>-24312.75</v>
      </c>
      <c r="Q53" s="273"/>
      <c r="R53" s="273"/>
      <c r="S53" s="273">
        <f t="shared" si="1"/>
        <v>6633705.1900943108</v>
      </c>
      <c r="T53" s="37"/>
      <c r="U53" s="37">
        <v>552808.77</v>
      </c>
      <c r="V53" s="37">
        <v>552808.77</v>
      </c>
      <c r="W53" s="37">
        <v>552808.77</v>
      </c>
      <c r="X53" s="37">
        <v>552808.76</v>
      </c>
      <c r="Y53" s="37">
        <v>552808.77</v>
      </c>
      <c r="Z53" s="37">
        <f t="shared" si="6"/>
        <v>552808.76</v>
      </c>
      <c r="AA53" s="37">
        <f t="shared" si="6"/>
        <v>552808.76</v>
      </c>
      <c r="AB53" s="37">
        <f t="shared" si="6"/>
        <v>552808.76</v>
      </c>
      <c r="AC53" s="37">
        <f t="shared" si="6"/>
        <v>552808.76</v>
      </c>
      <c r="AD53" s="37">
        <f t="shared" si="6"/>
        <v>552808.76</v>
      </c>
      <c r="AE53" s="37">
        <f t="shared" si="6"/>
        <v>552808.76</v>
      </c>
      <c r="AF53" s="37">
        <f t="shared" si="3"/>
        <v>552808.79009431135</v>
      </c>
      <c r="AG53" s="37">
        <f t="shared" si="4"/>
        <v>6633705.1900943108</v>
      </c>
      <c r="AH53" s="37" t="b">
        <f t="shared" si="5"/>
        <v>1</v>
      </c>
      <c r="AI53" s="37"/>
      <c r="AJ53" s="37"/>
      <c r="AK53" s="37"/>
      <c r="AL53" s="37"/>
      <c r="AM53" s="37"/>
      <c r="AN53" s="37"/>
      <c r="AO53" s="37"/>
      <c r="AP53" s="207"/>
      <c r="AR53" s="37"/>
      <c r="AS53" s="37"/>
      <c r="AT53" s="37"/>
      <c r="AU53" s="37"/>
      <c r="AV53" s="37"/>
      <c r="AW53" s="37"/>
      <c r="AX53" s="37"/>
      <c r="AY53" s="37"/>
      <c r="AZ53" s="37"/>
      <c r="BA53" s="64"/>
    </row>
    <row r="54" spans="1:53">
      <c r="A54" s="231">
        <v>3428</v>
      </c>
      <c r="B54" s="4">
        <v>134476</v>
      </c>
      <c r="C54" s="4" t="s">
        <v>371</v>
      </c>
      <c r="D54" s="4" t="s">
        <v>372</v>
      </c>
      <c r="E54" s="213" t="s">
        <v>5</v>
      </c>
      <c r="F54" s="248" t="s">
        <v>229</v>
      </c>
      <c r="G54" s="37"/>
      <c r="H54" s="270">
        <f>_xlfn.IFNA(VLOOKUP(A54,ISB!$A$4:$BY$454,67,FALSE),0)</f>
        <v>2083185.8889838671</v>
      </c>
      <c r="I54" s="270">
        <f>_xlfn.IFNA(VLOOKUP(A54,ISB!$A$4:$BY$454,72,FALSE),0)</f>
        <v>-10353.91</v>
      </c>
      <c r="J54" s="271">
        <f>-_xlfn.IFNA(VLOOKUP(A54,ISB!$A$4:$BY$454,76,FALSE),0)</f>
        <v>-44784.729599999999</v>
      </c>
      <c r="K54" s="271">
        <f>_xlfn.IFNA(VLOOKUP(A54,ISB!$A$4:$BY$454,77,FALSE),0)</f>
        <v>2028047.2493838673</v>
      </c>
      <c r="L54" s="271">
        <f>_xlfn.IFNA(VLOOKUP(A54,'Post 16'!A:AC,13,FALSE),0)+_xlfn.IFNA(VLOOKUP(A54,'Post 16'!A:AC,17,FALSE),0)+(_xlfn.IFNA(VLOOKUP(A54,'Post 16'!A:AC,28,FALSE),0))</f>
        <v>0</v>
      </c>
      <c r="M54" s="271">
        <f>VLOOKUP(A54,HN!A:P,16,FALSE)</f>
        <v>0</v>
      </c>
      <c r="N54" s="271">
        <f>VLOOKUP(A54,HN!A:T,20,FALSE)</f>
        <v>0</v>
      </c>
      <c r="O54" s="271">
        <f>VLOOKUP(A54,EY!A:O,15,FALSE)</f>
        <v>88992.199999999983</v>
      </c>
      <c r="P54" s="271">
        <f>-VLOOKUP(A54,Adjustments!A:M,11,FALSE)</f>
        <v>-9471</v>
      </c>
      <c r="Q54" s="273"/>
      <c r="R54" s="273"/>
      <c r="S54" s="273">
        <f t="shared" si="1"/>
        <v>2107568.4493838674</v>
      </c>
      <c r="T54" s="37"/>
      <c r="U54" s="37">
        <v>179021.96</v>
      </c>
      <c r="V54" s="37">
        <v>179021.96</v>
      </c>
      <c r="W54" s="37">
        <v>179021.96</v>
      </c>
      <c r="X54" s="37">
        <v>174500.29</v>
      </c>
      <c r="Y54" s="37">
        <v>174500.28</v>
      </c>
      <c r="Z54" s="37">
        <f t="shared" si="6"/>
        <v>174500.29</v>
      </c>
      <c r="AA54" s="37">
        <f t="shared" si="6"/>
        <v>174500.29</v>
      </c>
      <c r="AB54" s="37">
        <f t="shared" si="6"/>
        <v>174500.29</v>
      </c>
      <c r="AC54" s="37">
        <f t="shared" si="6"/>
        <v>174500.29</v>
      </c>
      <c r="AD54" s="37">
        <f t="shared" si="6"/>
        <v>174500.29</v>
      </c>
      <c r="AE54" s="37">
        <f t="shared" si="6"/>
        <v>174500.29</v>
      </c>
      <c r="AF54" s="37">
        <f t="shared" si="3"/>
        <v>174500.25938386726</v>
      </c>
      <c r="AG54" s="37">
        <f t="shared" si="4"/>
        <v>2107568.4493838674</v>
      </c>
      <c r="AH54" s="37" t="b">
        <f t="shared" si="5"/>
        <v>1</v>
      </c>
      <c r="AI54" s="37"/>
      <c r="AJ54" s="37"/>
      <c r="AK54" s="37"/>
      <c r="AL54" s="37"/>
      <c r="AM54" s="37"/>
      <c r="AN54" s="37"/>
      <c r="AO54" s="37"/>
      <c r="AP54" s="207"/>
      <c r="AR54" s="37"/>
      <c r="AS54" s="37"/>
      <c r="AT54" s="37"/>
      <c r="AU54" s="37"/>
      <c r="AV54" s="37"/>
      <c r="AW54" s="37"/>
      <c r="AX54" s="37"/>
      <c r="AY54" s="37"/>
      <c r="AZ54" s="37"/>
      <c r="BA54" s="64"/>
    </row>
    <row r="55" spans="1:53">
      <c r="A55" s="231">
        <v>4237</v>
      </c>
      <c r="B55" s="4">
        <v>103514</v>
      </c>
      <c r="C55" s="4" t="s">
        <v>374</v>
      </c>
      <c r="D55" s="4" t="s">
        <v>375</v>
      </c>
      <c r="E55" s="213" t="s">
        <v>6</v>
      </c>
      <c r="F55" s="248" t="s">
        <v>229</v>
      </c>
      <c r="G55" s="37"/>
      <c r="H55" s="270">
        <f>_xlfn.IFNA(VLOOKUP(A55,ISB!$A$4:$BY$454,67,FALSE),0)</f>
        <v>11401454.134391848</v>
      </c>
      <c r="I55" s="270">
        <f>_xlfn.IFNA(VLOOKUP(A55,ISB!$A$4:$BY$454,72,FALSE),0)</f>
        <v>-31598.550000000003</v>
      </c>
      <c r="J55" s="271">
        <f>-_xlfn.IFNA(VLOOKUP(A55,ISB!$A$4:$BY$454,76,FALSE),0)</f>
        <v>-200868.78719999999</v>
      </c>
      <c r="K55" s="271">
        <f>_xlfn.IFNA(VLOOKUP(A55,ISB!$A$4:$BY$454,77,FALSE),0)</f>
        <v>11168986.797191847</v>
      </c>
      <c r="L55" s="271">
        <f>_xlfn.IFNA(VLOOKUP(A55,'Post 16'!A:AC,13,FALSE),0)+_xlfn.IFNA(VLOOKUP(A55,'Post 16'!A:AC,17,FALSE),0)+(_xlfn.IFNA(VLOOKUP(A55,'Post 16'!A:AC,28,FALSE),0))</f>
        <v>1837718</v>
      </c>
      <c r="M55" s="271">
        <f>VLOOKUP(A55,HN!A:P,16,FALSE)</f>
        <v>0</v>
      </c>
      <c r="N55" s="271">
        <f>VLOOKUP(A55,HN!A:T,20,FALSE)</f>
        <v>0</v>
      </c>
      <c r="O55" s="271">
        <f>VLOOKUP(A55,EY!A:O,15,FALSE)</f>
        <v>0</v>
      </c>
      <c r="P55" s="271">
        <f>-VLOOKUP(A55,Adjustments!A:M,11,FALSE)</f>
        <v>-45969</v>
      </c>
      <c r="Q55" s="273"/>
      <c r="R55" s="273"/>
      <c r="S55" s="273">
        <f t="shared" si="1"/>
        <v>12960735.797191847</v>
      </c>
      <c r="T55" s="37"/>
      <c r="U55" s="37">
        <v>1080061.32</v>
      </c>
      <c r="V55" s="37">
        <v>1080061.32</v>
      </c>
      <c r="W55" s="37">
        <v>1080061.32</v>
      </c>
      <c r="X55" s="37">
        <v>1080061.32</v>
      </c>
      <c r="Y55" s="37">
        <v>1080061.31</v>
      </c>
      <c r="Z55" s="37">
        <f t="shared" si="6"/>
        <v>1080061.32</v>
      </c>
      <c r="AA55" s="37">
        <f t="shared" si="6"/>
        <v>1080061.32</v>
      </c>
      <c r="AB55" s="37">
        <f t="shared" si="6"/>
        <v>1080061.32</v>
      </c>
      <c r="AC55" s="37">
        <f t="shared" si="6"/>
        <v>1080061.32</v>
      </c>
      <c r="AD55" s="37">
        <f t="shared" si="6"/>
        <v>1080061.32</v>
      </c>
      <c r="AE55" s="37">
        <f t="shared" si="6"/>
        <v>1080061.32</v>
      </c>
      <c r="AF55" s="37">
        <f t="shared" si="3"/>
        <v>1080061.2871918455</v>
      </c>
      <c r="AG55" s="37">
        <f t="shared" si="4"/>
        <v>12960735.797191847</v>
      </c>
      <c r="AH55" s="37" t="b">
        <f t="shared" si="5"/>
        <v>1</v>
      </c>
      <c r="AI55" s="37"/>
      <c r="AJ55" s="37"/>
      <c r="AK55" s="37"/>
      <c r="AL55" s="37"/>
      <c r="AM55" s="37"/>
      <c r="AN55" s="37"/>
      <c r="AO55" s="37"/>
      <c r="AP55" s="207"/>
      <c r="AR55" s="37"/>
      <c r="AS55" s="37"/>
      <c r="AT55" s="37"/>
      <c r="AU55" s="37"/>
      <c r="AV55" s="37"/>
      <c r="AW55" s="37"/>
      <c r="AX55" s="37"/>
      <c r="AY55" s="37"/>
      <c r="AZ55" s="37"/>
      <c r="BA55" s="64"/>
    </row>
    <row r="56" spans="1:53">
      <c r="A56" s="231">
        <v>3323</v>
      </c>
      <c r="B56" s="4">
        <v>103427</v>
      </c>
      <c r="C56" s="4" t="s">
        <v>377</v>
      </c>
      <c r="D56" s="4" t="s">
        <v>378</v>
      </c>
      <c r="E56" s="213" t="s">
        <v>5</v>
      </c>
      <c r="F56" s="248" t="s">
        <v>229</v>
      </c>
      <c r="G56" s="37"/>
      <c r="H56" s="270">
        <f>_xlfn.IFNA(VLOOKUP(A56,ISB!$A$4:$BY$454,67,FALSE),0)</f>
        <v>1186497.0141801999</v>
      </c>
      <c r="I56" s="270">
        <f>_xlfn.IFNA(VLOOKUP(A56,ISB!$A$4:$BY$454,72,FALSE),0)</f>
        <v>-4888.6499999999996</v>
      </c>
      <c r="J56" s="271">
        <f>-_xlfn.IFNA(VLOOKUP(A56,ISB!$A$4:$BY$454,76,FALSE),0)</f>
        <v>-3285.9780999999998</v>
      </c>
      <c r="K56" s="271">
        <f>_xlfn.IFNA(VLOOKUP(A56,ISB!$A$4:$BY$454,77,FALSE),0)</f>
        <v>1178322.3860802001</v>
      </c>
      <c r="L56" s="271">
        <f>_xlfn.IFNA(VLOOKUP(A56,'Post 16'!A:AC,13,FALSE),0)+_xlfn.IFNA(VLOOKUP(A56,'Post 16'!A:AC,17,FALSE),0)+(_xlfn.IFNA(VLOOKUP(A56,'Post 16'!A:AC,28,FALSE),0))</f>
        <v>0</v>
      </c>
      <c r="M56" s="271">
        <f>VLOOKUP(A56,HN!A:P,16,FALSE)</f>
        <v>0</v>
      </c>
      <c r="N56" s="271">
        <f>VLOOKUP(A56,HN!A:T,20,FALSE)</f>
        <v>0</v>
      </c>
      <c r="O56" s="271">
        <f>VLOOKUP(A56,EY!A:O,15,FALSE)</f>
        <v>61208.1</v>
      </c>
      <c r="P56" s="271">
        <f>-VLOOKUP(A56,Adjustments!A:M,11,FALSE)</f>
        <v>-5139.75</v>
      </c>
      <c r="Q56" s="273"/>
      <c r="R56" s="273"/>
      <c r="S56" s="273">
        <f t="shared" si="1"/>
        <v>1234390.7360802002</v>
      </c>
      <c r="T56" s="37"/>
      <c r="U56" s="37">
        <v>103382.76</v>
      </c>
      <c r="V56" s="37">
        <v>103382.76</v>
      </c>
      <c r="W56" s="37">
        <v>103382.76</v>
      </c>
      <c r="X56" s="37">
        <v>102693.61</v>
      </c>
      <c r="Y56" s="37">
        <v>102693.61</v>
      </c>
      <c r="Z56" s="37">
        <f t="shared" si="6"/>
        <v>102693.61</v>
      </c>
      <c r="AA56" s="37">
        <f t="shared" si="6"/>
        <v>102693.61</v>
      </c>
      <c r="AB56" s="37">
        <f t="shared" si="6"/>
        <v>102693.61</v>
      </c>
      <c r="AC56" s="37">
        <f t="shared" si="6"/>
        <v>102693.61</v>
      </c>
      <c r="AD56" s="37">
        <f t="shared" si="6"/>
        <v>102693.61</v>
      </c>
      <c r="AE56" s="37">
        <f t="shared" si="6"/>
        <v>102693.61</v>
      </c>
      <c r="AF56" s="37">
        <f t="shared" si="3"/>
        <v>102693.57608020026</v>
      </c>
      <c r="AG56" s="37">
        <f t="shared" si="4"/>
        <v>1234390.7360802002</v>
      </c>
      <c r="AH56" s="37" t="b">
        <f t="shared" si="5"/>
        <v>1</v>
      </c>
      <c r="AI56" s="37"/>
      <c r="AJ56" s="37"/>
      <c r="AK56" s="37"/>
      <c r="AL56" s="37"/>
      <c r="AM56" s="37"/>
      <c r="AN56" s="37"/>
      <c r="AO56" s="37"/>
      <c r="AP56" s="207"/>
      <c r="AR56" s="37"/>
      <c r="AS56" s="37"/>
      <c r="AT56" s="37"/>
      <c r="AU56" s="37"/>
      <c r="AV56" s="37"/>
      <c r="AW56" s="37"/>
      <c r="AX56" s="37"/>
      <c r="AY56" s="37"/>
      <c r="AZ56" s="37"/>
      <c r="BA56" s="64"/>
    </row>
    <row r="57" spans="1:53">
      <c r="A57" s="231">
        <v>7014</v>
      </c>
      <c r="B57" s="4">
        <v>103605</v>
      </c>
      <c r="C57" s="4" t="s">
        <v>380</v>
      </c>
      <c r="D57" s="4" t="s">
        <v>381</v>
      </c>
      <c r="E57" s="213" t="s">
        <v>1093</v>
      </c>
      <c r="F57" s="248" t="s">
        <v>229</v>
      </c>
      <c r="G57" s="37"/>
      <c r="H57" s="270">
        <f>_xlfn.IFNA(VLOOKUP(A57,ISB!$A$4:$BY$454,67,FALSE),0)</f>
        <v>0</v>
      </c>
      <c r="I57" s="270">
        <f>_xlfn.IFNA(VLOOKUP(A57,ISB!$A$4:$BY$454,72,FALSE),0)</f>
        <v>0</v>
      </c>
      <c r="J57" s="271">
        <f>-_xlfn.IFNA(VLOOKUP(A57,ISB!$A$4:$BY$454,76,FALSE),0)</f>
        <v>0</v>
      </c>
      <c r="K57" s="271">
        <f>_xlfn.IFNA(VLOOKUP(A57,ISB!$A$4:$BY$454,77,FALSE),0)</f>
        <v>0</v>
      </c>
      <c r="L57" s="271">
        <f>_xlfn.IFNA(VLOOKUP(A57,'Post 16'!A:AC,13,FALSE),0)+_xlfn.IFNA(VLOOKUP(A57,'Post 16'!A:AC,17,FALSE),0)+(_xlfn.IFNA(VLOOKUP(A57,'Post 16'!A:AC,28,FALSE),0))</f>
        <v>0</v>
      </c>
      <c r="M57" s="271">
        <f>VLOOKUP(A57,HN!A:P,16,FALSE)</f>
        <v>6635818.266378155</v>
      </c>
      <c r="N57" s="271">
        <f>VLOOKUP(A57,HN!A:T,20,FALSE)</f>
        <v>0</v>
      </c>
      <c r="O57" s="271">
        <f>VLOOKUP(A57,EY!A:O,15,FALSE)</f>
        <v>0</v>
      </c>
      <c r="P57" s="271">
        <f>-VLOOKUP(A57,Adjustments!A:M,11,FALSE)</f>
        <v>-6650</v>
      </c>
      <c r="Q57" s="273"/>
      <c r="R57" s="273"/>
      <c r="S57" s="273">
        <f t="shared" si="1"/>
        <v>6629168.266378155</v>
      </c>
      <c r="T57" s="37"/>
      <c r="U57" s="37">
        <v>552984.86</v>
      </c>
      <c r="V57" s="37">
        <v>552984.86</v>
      </c>
      <c r="W57" s="37">
        <v>552984.86</v>
      </c>
      <c r="X57" s="37">
        <v>552984.85</v>
      </c>
      <c r="Y57" s="37">
        <v>552984.85</v>
      </c>
      <c r="Z57" s="37">
        <f t="shared" si="6"/>
        <v>552034.86</v>
      </c>
      <c r="AA57" s="37">
        <f t="shared" si="6"/>
        <v>552034.86</v>
      </c>
      <c r="AB57" s="37">
        <f t="shared" si="6"/>
        <v>552034.86</v>
      </c>
      <c r="AC57" s="37">
        <f t="shared" si="6"/>
        <v>552034.86</v>
      </c>
      <c r="AD57" s="37">
        <f t="shared" si="6"/>
        <v>552034.86</v>
      </c>
      <c r="AE57" s="37">
        <f t="shared" si="6"/>
        <v>552034.86</v>
      </c>
      <c r="AF57" s="37">
        <f t="shared" si="3"/>
        <v>552034.82637815364</v>
      </c>
      <c r="AG57" s="37">
        <f t="shared" si="4"/>
        <v>6629168.266378155</v>
      </c>
      <c r="AH57" s="37" t="b">
        <f t="shared" si="5"/>
        <v>1</v>
      </c>
      <c r="AI57" s="37"/>
      <c r="AJ57" s="37"/>
      <c r="AK57" s="37"/>
      <c r="AL57" s="37"/>
      <c r="AM57" s="37"/>
      <c r="AN57" s="37"/>
      <c r="AO57" s="37"/>
      <c r="AP57" s="207"/>
      <c r="AR57" s="37"/>
      <c r="AS57" s="37"/>
      <c r="AT57" s="37"/>
      <c r="AU57" s="37"/>
      <c r="AV57" s="37"/>
      <c r="AW57" s="37"/>
      <c r="AX57" s="37"/>
      <c r="AY57" s="37"/>
      <c r="AZ57" s="37"/>
      <c r="BA57" s="64"/>
    </row>
    <row r="58" spans="1:53">
      <c r="A58" s="231">
        <v>7009</v>
      </c>
      <c r="B58" s="4">
        <v>103601</v>
      </c>
      <c r="C58" s="4" t="s">
        <v>383</v>
      </c>
      <c r="D58" s="4" t="s">
        <v>384</v>
      </c>
      <c r="E58" s="213" t="s">
        <v>1093</v>
      </c>
      <c r="F58" s="248" t="s">
        <v>229</v>
      </c>
      <c r="G58" s="37"/>
      <c r="H58" s="270">
        <f>_xlfn.IFNA(VLOOKUP(A58,ISB!$A$4:$BY$454,67,FALSE),0)</f>
        <v>0</v>
      </c>
      <c r="I58" s="270">
        <f>_xlfn.IFNA(VLOOKUP(A58,ISB!$A$4:$BY$454,72,FALSE),0)</f>
        <v>0</v>
      </c>
      <c r="J58" s="271">
        <f>-_xlfn.IFNA(VLOOKUP(A58,ISB!$A$4:$BY$454,76,FALSE),0)</f>
        <v>0</v>
      </c>
      <c r="K58" s="271">
        <f>_xlfn.IFNA(VLOOKUP(A58,ISB!$A$4:$BY$454,77,FALSE),0)</f>
        <v>0</v>
      </c>
      <c r="L58" s="271">
        <f>_xlfn.IFNA(VLOOKUP(A58,'Post 16'!A:AC,13,FALSE),0)+_xlfn.IFNA(VLOOKUP(A58,'Post 16'!A:AC,17,FALSE),0)+(_xlfn.IFNA(VLOOKUP(A58,'Post 16'!A:AC,28,FALSE),0))</f>
        <v>0</v>
      </c>
      <c r="M58" s="271">
        <f>VLOOKUP(A58,HN!A:P,16,FALSE)</f>
        <v>5732993.6678339373</v>
      </c>
      <c r="N58" s="271">
        <f>VLOOKUP(A58,HN!A:T,20,FALSE)</f>
        <v>0</v>
      </c>
      <c r="O58" s="271">
        <f>VLOOKUP(A58,EY!A:O,15,FALSE)</f>
        <v>19945.900000000001</v>
      </c>
      <c r="P58" s="271">
        <f>-VLOOKUP(A58,Adjustments!A:M,11,FALSE)</f>
        <v>-5850</v>
      </c>
      <c r="Q58" s="273"/>
      <c r="R58" s="273"/>
      <c r="S58" s="273">
        <f t="shared" si="1"/>
        <v>5747089.5678339377</v>
      </c>
      <c r="T58" s="37"/>
      <c r="U58" s="37">
        <v>477749.47</v>
      </c>
      <c r="V58" s="37">
        <v>477749.47</v>
      </c>
      <c r="W58" s="37">
        <v>477749.47</v>
      </c>
      <c r="X58" s="37">
        <v>479965.68</v>
      </c>
      <c r="Y58" s="37">
        <v>479965.68</v>
      </c>
      <c r="Z58" s="37">
        <f t="shared" si="6"/>
        <v>479129.97</v>
      </c>
      <c r="AA58" s="37">
        <f t="shared" si="6"/>
        <v>479129.97</v>
      </c>
      <c r="AB58" s="37">
        <f t="shared" si="6"/>
        <v>479129.97</v>
      </c>
      <c r="AC58" s="37">
        <f t="shared" si="6"/>
        <v>479129.97</v>
      </c>
      <c r="AD58" s="37">
        <f t="shared" si="6"/>
        <v>479129.97</v>
      </c>
      <c r="AE58" s="37">
        <f t="shared" si="6"/>
        <v>479129.97</v>
      </c>
      <c r="AF58" s="37">
        <f t="shared" si="3"/>
        <v>479129.97783393878</v>
      </c>
      <c r="AG58" s="37">
        <f t="shared" si="4"/>
        <v>5747089.5678339377</v>
      </c>
      <c r="AH58" s="37" t="b">
        <f t="shared" si="5"/>
        <v>1</v>
      </c>
      <c r="AI58" s="37"/>
      <c r="AJ58" s="37"/>
      <c r="AK58" s="37"/>
      <c r="AL58" s="37"/>
      <c r="AM58" s="37"/>
      <c r="AN58" s="37"/>
      <c r="AO58" s="37"/>
      <c r="AP58" s="207"/>
      <c r="AR58" s="37"/>
      <c r="AS58" s="37"/>
      <c r="AT58" s="37"/>
      <c r="AU58" s="37"/>
      <c r="AV58" s="37"/>
      <c r="AW58" s="37"/>
      <c r="AX58" s="37"/>
      <c r="AY58" s="37"/>
      <c r="AZ58" s="37"/>
      <c r="BA58" s="64"/>
    </row>
    <row r="59" spans="1:53">
      <c r="A59" s="231">
        <v>5203</v>
      </c>
      <c r="B59" s="4">
        <v>103544</v>
      </c>
      <c r="C59" s="4" t="s">
        <v>386</v>
      </c>
      <c r="D59" s="4" t="s">
        <v>387</v>
      </c>
      <c r="E59" s="213" t="s">
        <v>5</v>
      </c>
      <c r="F59" s="248" t="s">
        <v>229</v>
      </c>
      <c r="G59" s="37"/>
      <c r="H59" s="270">
        <f>_xlfn.IFNA(VLOOKUP(A59,ISB!$A$4:$BY$454,67,FALSE),0)</f>
        <v>1272868.6441177081</v>
      </c>
      <c r="I59" s="270">
        <f>_xlfn.IFNA(VLOOKUP(A59,ISB!$A$4:$BY$454,72,FALSE),0)</f>
        <v>-6768.9</v>
      </c>
      <c r="J59" s="271">
        <f>-_xlfn.IFNA(VLOOKUP(A59,ISB!$A$4:$BY$454,76,FALSE),0)</f>
        <v>-6271.1652999999997</v>
      </c>
      <c r="K59" s="271">
        <f>_xlfn.IFNA(VLOOKUP(A59,ISB!$A$4:$BY$454,77,FALSE),0)</f>
        <v>1259828.5788177082</v>
      </c>
      <c r="L59" s="271">
        <f>_xlfn.IFNA(VLOOKUP(A59,'Post 16'!A:AC,13,FALSE),0)+_xlfn.IFNA(VLOOKUP(A59,'Post 16'!A:AC,17,FALSE),0)+(_xlfn.IFNA(VLOOKUP(A59,'Post 16'!A:AC,28,FALSE),0))</f>
        <v>0</v>
      </c>
      <c r="M59" s="271">
        <f>VLOOKUP(A59,HN!A:P,16,FALSE)</f>
        <v>0</v>
      </c>
      <c r="N59" s="271">
        <f>VLOOKUP(A59,HN!A:T,20,FALSE)</f>
        <v>0</v>
      </c>
      <c r="O59" s="271">
        <f>VLOOKUP(A59,EY!A:O,15,FALSE)</f>
        <v>275396.2</v>
      </c>
      <c r="P59" s="271">
        <f>-VLOOKUP(A59,Adjustments!A:M,11,FALSE)</f>
        <v>-5139.75</v>
      </c>
      <c r="Q59" s="273"/>
      <c r="R59" s="273"/>
      <c r="S59" s="273">
        <f t="shared" si="1"/>
        <v>1530085.0288177081</v>
      </c>
      <c r="T59" s="37"/>
      <c r="U59" s="37">
        <v>125104.16</v>
      </c>
      <c r="V59" s="37">
        <v>125104.16</v>
      </c>
      <c r="W59" s="37">
        <v>125104.16</v>
      </c>
      <c r="X59" s="37">
        <v>128308.06</v>
      </c>
      <c r="Y59" s="37">
        <v>128308.06</v>
      </c>
      <c r="Z59" s="37">
        <f t="shared" si="6"/>
        <v>128308.06</v>
      </c>
      <c r="AA59" s="37">
        <f t="shared" si="6"/>
        <v>128308.06</v>
      </c>
      <c r="AB59" s="37">
        <f t="shared" si="6"/>
        <v>128308.06</v>
      </c>
      <c r="AC59" s="37">
        <f t="shared" si="6"/>
        <v>128308.06</v>
      </c>
      <c r="AD59" s="37">
        <f t="shared" si="6"/>
        <v>128308.06</v>
      </c>
      <c r="AE59" s="37">
        <f t="shared" si="6"/>
        <v>128308.06</v>
      </c>
      <c r="AF59" s="37">
        <f t="shared" si="3"/>
        <v>128308.06881770794</v>
      </c>
      <c r="AG59" s="37">
        <f t="shared" si="4"/>
        <v>1530085.0288177081</v>
      </c>
      <c r="AH59" s="37" t="b">
        <f t="shared" si="5"/>
        <v>1</v>
      </c>
      <c r="AI59" s="37"/>
      <c r="AJ59" s="37"/>
      <c r="AK59" s="37"/>
      <c r="AL59" s="37"/>
      <c r="AM59" s="37"/>
      <c r="AN59" s="37"/>
      <c r="AO59" s="37"/>
      <c r="AP59" s="207"/>
      <c r="AR59" s="37"/>
      <c r="AS59" s="37"/>
      <c r="AT59" s="37"/>
      <c r="AU59" s="37"/>
      <c r="AV59" s="37"/>
      <c r="AW59" s="37"/>
      <c r="AX59" s="37"/>
      <c r="AY59" s="37"/>
      <c r="AZ59" s="37"/>
      <c r="BA59" s="64"/>
    </row>
    <row r="60" spans="1:53">
      <c r="A60" s="231">
        <v>5202</v>
      </c>
      <c r="B60" s="4">
        <v>103543</v>
      </c>
      <c r="C60" s="4" t="s">
        <v>389</v>
      </c>
      <c r="D60" s="4" t="s">
        <v>390</v>
      </c>
      <c r="E60" s="213" t="s">
        <v>5</v>
      </c>
      <c r="F60" s="248" t="s">
        <v>229</v>
      </c>
      <c r="G60" s="37"/>
      <c r="H60" s="270">
        <f>_xlfn.IFNA(VLOOKUP(A60,ISB!$A$4:$BY$454,67,FALSE),0)</f>
        <v>1663813.4724999999</v>
      </c>
      <c r="I60" s="270">
        <f>_xlfn.IFNA(VLOOKUP(A60,ISB!$A$4:$BY$454,72,FALSE),0)</f>
        <v>-9025.2000000000007</v>
      </c>
      <c r="J60" s="271">
        <f>-_xlfn.IFNA(VLOOKUP(A60,ISB!$A$4:$BY$454,76,FALSE),0)</f>
        <v>-4213.4724999999999</v>
      </c>
      <c r="K60" s="271">
        <f>_xlfn.IFNA(VLOOKUP(A60,ISB!$A$4:$BY$454,77,FALSE),0)</f>
        <v>1650574.8</v>
      </c>
      <c r="L60" s="271">
        <f>_xlfn.IFNA(VLOOKUP(A60,'Post 16'!A:AC,13,FALSE),0)+_xlfn.IFNA(VLOOKUP(A60,'Post 16'!A:AC,17,FALSE),0)+(_xlfn.IFNA(VLOOKUP(A60,'Post 16'!A:AC,28,FALSE),0))</f>
        <v>0</v>
      </c>
      <c r="M60" s="271">
        <f>VLOOKUP(A60,HN!A:P,16,FALSE)</f>
        <v>0</v>
      </c>
      <c r="N60" s="271">
        <f>VLOOKUP(A60,HN!A:T,20,FALSE)</f>
        <v>0</v>
      </c>
      <c r="O60" s="271">
        <f>VLOOKUP(A60,EY!A:O,15,FALSE)</f>
        <v>0</v>
      </c>
      <c r="P60" s="271">
        <f>-VLOOKUP(A60,Adjustments!A:M,11,FALSE)</f>
        <v>0</v>
      </c>
      <c r="Q60" s="273"/>
      <c r="R60" s="273"/>
      <c r="S60" s="273">
        <f t="shared" si="1"/>
        <v>1650574.8</v>
      </c>
      <c r="T60" s="37"/>
      <c r="U60" s="37">
        <v>137547.9</v>
      </c>
      <c r="V60" s="37">
        <v>137547.9</v>
      </c>
      <c r="W60" s="37">
        <v>137547.9</v>
      </c>
      <c r="X60" s="37">
        <v>137547.9</v>
      </c>
      <c r="Y60" s="37">
        <v>137547.9</v>
      </c>
      <c r="Z60" s="37">
        <f t="shared" si="6"/>
        <v>137547.9</v>
      </c>
      <c r="AA60" s="37">
        <f t="shared" si="6"/>
        <v>137547.9</v>
      </c>
      <c r="AB60" s="37">
        <f t="shared" si="6"/>
        <v>137547.9</v>
      </c>
      <c r="AC60" s="37">
        <f t="shared" si="6"/>
        <v>137547.9</v>
      </c>
      <c r="AD60" s="37">
        <f t="shared" si="6"/>
        <v>137547.9</v>
      </c>
      <c r="AE60" s="37">
        <f t="shared" si="6"/>
        <v>137547.9</v>
      </c>
      <c r="AF60" s="37">
        <f t="shared" si="3"/>
        <v>137547.90000000037</v>
      </c>
      <c r="AG60" s="37">
        <f t="shared" si="4"/>
        <v>1650574.8</v>
      </c>
      <c r="AH60" s="37" t="b">
        <f t="shared" si="5"/>
        <v>1</v>
      </c>
      <c r="AI60" s="37"/>
      <c r="AJ60" s="37"/>
      <c r="AK60" s="37"/>
      <c r="AL60" s="37"/>
      <c r="AM60" s="37"/>
      <c r="AN60" s="37"/>
      <c r="AO60" s="37"/>
      <c r="AP60" s="207"/>
      <c r="AR60" s="37"/>
      <c r="AS60" s="37"/>
      <c r="AT60" s="37"/>
      <c r="AU60" s="37"/>
      <c r="AV60" s="37"/>
      <c r="AW60" s="37"/>
      <c r="AX60" s="37"/>
      <c r="AY60" s="37"/>
      <c r="AZ60" s="37"/>
      <c r="BA60" s="64"/>
    </row>
    <row r="61" spans="1:53">
      <c r="A61" s="231">
        <v>2308</v>
      </c>
      <c r="B61" s="4">
        <v>103328</v>
      </c>
      <c r="C61" s="4" t="s">
        <v>392</v>
      </c>
      <c r="D61" s="4" t="s">
        <v>393</v>
      </c>
      <c r="E61" s="213" t="s">
        <v>5</v>
      </c>
      <c r="F61" s="248" t="s">
        <v>229</v>
      </c>
      <c r="G61" s="37"/>
      <c r="H61" s="270">
        <f>_xlfn.IFNA(VLOOKUP(A61,ISB!$A$4:$BY$454,67,FALSE),0)</f>
        <v>2398105.5587972472</v>
      </c>
      <c r="I61" s="270">
        <f>_xlfn.IFNA(VLOOKUP(A61,ISB!$A$4:$BY$454,72,FALSE),0)</f>
        <v>-10028</v>
      </c>
      <c r="J61" s="271">
        <f>-_xlfn.IFNA(VLOOKUP(A61,ISB!$A$4:$BY$454,76,FALSE),0)</f>
        <v>-36039.782399999996</v>
      </c>
      <c r="K61" s="271">
        <f>_xlfn.IFNA(VLOOKUP(A61,ISB!$A$4:$BY$454,77,FALSE),0)</f>
        <v>2352037.7763972473</v>
      </c>
      <c r="L61" s="271">
        <f>_xlfn.IFNA(VLOOKUP(A61,'Post 16'!A:AC,13,FALSE),0)+_xlfn.IFNA(VLOOKUP(A61,'Post 16'!A:AC,17,FALSE),0)+(_xlfn.IFNA(VLOOKUP(A61,'Post 16'!A:AC,28,FALSE),0))</f>
        <v>0</v>
      </c>
      <c r="M61" s="271">
        <f>VLOOKUP(A61,HN!A:P,16,FALSE)</f>
        <v>0</v>
      </c>
      <c r="N61" s="271">
        <f>VLOOKUP(A61,HN!A:T,20,FALSE)</f>
        <v>14996.20926346154</v>
      </c>
      <c r="O61" s="271">
        <f>VLOOKUP(A61,EY!A:O,15,FALSE)</f>
        <v>155428.79999999999</v>
      </c>
      <c r="P61" s="271">
        <f>-VLOOKUP(A61,Adjustments!A:M,11,FALSE)</f>
        <v>-9471</v>
      </c>
      <c r="Q61" s="273"/>
      <c r="R61" s="273"/>
      <c r="S61" s="273">
        <f t="shared" si="1"/>
        <v>2512991.7856607088</v>
      </c>
      <c r="T61" s="37"/>
      <c r="U61" s="37">
        <v>205085.28</v>
      </c>
      <c r="V61" s="37">
        <v>205085.28</v>
      </c>
      <c r="W61" s="37">
        <v>205085.28</v>
      </c>
      <c r="X61" s="37">
        <v>214192.03642115384</v>
      </c>
      <c r="Y61" s="37">
        <v>210442.99</v>
      </c>
      <c r="Z61" s="37">
        <f t="shared" si="6"/>
        <v>210442.99</v>
      </c>
      <c r="AA61" s="37">
        <f t="shared" si="6"/>
        <v>210442.99</v>
      </c>
      <c r="AB61" s="37">
        <f t="shared" si="6"/>
        <v>210442.99</v>
      </c>
      <c r="AC61" s="37">
        <f t="shared" si="6"/>
        <v>210442.99</v>
      </c>
      <c r="AD61" s="37">
        <f t="shared" si="6"/>
        <v>210442.99</v>
      </c>
      <c r="AE61" s="37">
        <f t="shared" si="6"/>
        <v>210442.99</v>
      </c>
      <c r="AF61" s="37">
        <f t="shared" si="3"/>
        <v>210442.97923955508</v>
      </c>
      <c r="AG61" s="37">
        <f t="shared" si="4"/>
        <v>2512991.7856607088</v>
      </c>
      <c r="AH61" s="37" t="b">
        <f t="shared" si="5"/>
        <v>1</v>
      </c>
      <c r="AI61" s="37"/>
      <c r="AJ61" s="37"/>
      <c r="AK61" s="37"/>
      <c r="AL61" s="37"/>
      <c r="AM61" s="37"/>
      <c r="AN61" s="37"/>
      <c r="AO61" s="37"/>
      <c r="AP61" s="207"/>
      <c r="AR61" s="37"/>
      <c r="AS61" s="37"/>
      <c r="AT61" s="37"/>
      <c r="AU61" s="37"/>
      <c r="AV61" s="37"/>
      <c r="AW61" s="37"/>
      <c r="AX61" s="37"/>
      <c r="AY61" s="37"/>
      <c r="AZ61" s="37"/>
      <c r="BA61" s="64"/>
    </row>
    <row r="62" spans="1:53">
      <c r="A62" s="231">
        <v>2011</v>
      </c>
      <c r="B62" s="4">
        <v>134099</v>
      </c>
      <c r="C62" s="4" t="s">
        <v>395</v>
      </c>
      <c r="D62" s="4" t="s">
        <v>396</v>
      </c>
      <c r="E62" s="213" t="s">
        <v>5</v>
      </c>
      <c r="F62" s="248" t="s">
        <v>229</v>
      </c>
      <c r="G62" s="37"/>
      <c r="H62" s="270">
        <f>_xlfn.IFNA(VLOOKUP(A62,ISB!$A$4:$BY$454,67,FALSE),0)</f>
        <v>3155526.7138323011</v>
      </c>
      <c r="I62" s="270">
        <f>_xlfn.IFNA(VLOOKUP(A62,ISB!$A$4:$BY$454,72,FALSE),0)</f>
        <v>-15443.12</v>
      </c>
      <c r="J62" s="271">
        <f>-_xlfn.IFNA(VLOOKUP(A62,ISB!$A$4:$BY$454,76,FALSE),0)</f>
        <v>-87256.254300000001</v>
      </c>
      <c r="K62" s="271">
        <f>_xlfn.IFNA(VLOOKUP(A62,ISB!$A$4:$BY$454,77,FALSE),0)</f>
        <v>3052827.3395323008</v>
      </c>
      <c r="L62" s="271">
        <f>_xlfn.IFNA(VLOOKUP(A62,'Post 16'!A:AC,13,FALSE),0)+_xlfn.IFNA(VLOOKUP(A62,'Post 16'!A:AC,17,FALSE),0)+(_xlfn.IFNA(VLOOKUP(A62,'Post 16'!A:AC,28,FALSE),0))</f>
        <v>0</v>
      </c>
      <c r="M62" s="271">
        <f>VLOOKUP(A62,HN!A:P,16,FALSE)</f>
        <v>0</v>
      </c>
      <c r="N62" s="271">
        <f>VLOOKUP(A62,HN!A:T,20,FALSE)</f>
        <v>0</v>
      </c>
      <c r="O62" s="271">
        <f>VLOOKUP(A62,EY!A:O,15,FALSE)</f>
        <v>129767.29999999999</v>
      </c>
      <c r="P62" s="271">
        <f>-VLOOKUP(A62,Adjustments!A:M,11,FALSE)</f>
        <v>-18745.650000000001</v>
      </c>
      <c r="Q62" s="273">
        <v>-226625.85717460999</v>
      </c>
      <c r="R62" s="273"/>
      <c r="S62" s="273">
        <f t="shared" si="1"/>
        <v>2937223.1323576909</v>
      </c>
      <c r="T62" s="37"/>
      <c r="U62" s="37">
        <v>243322.09</v>
      </c>
      <c r="V62" s="37">
        <v>243322.09</v>
      </c>
      <c r="W62" s="37">
        <v>243322.09</v>
      </c>
      <c r="X62" s="37">
        <v>245250.76</v>
      </c>
      <c r="Y62" s="37">
        <v>245250.76</v>
      </c>
      <c r="Z62" s="37">
        <f t="shared" si="6"/>
        <v>245250.76</v>
      </c>
      <c r="AA62" s="37">
        <f t="shared" si="6"/>
        <v>245250.76</v>
      </c>
      <c r="AB62" s="37">
        <f t="shared" si="6"/>
        <v>245250.76</v>
      </c>
      <c r="AC62" s="37">
        <f t="shared" si="6"/>
        <v>245250.76</v>
      </c>
      <c r="AD62" s="37">
        <f t="shared" si="6"/>
        <v>245250.76</v>
      </c>
      <c r="AE62" s="37">
        <f t="shared" si="6"/>
        <v>245250.76</v>
      </c>
      <c r="AF62" s="37">
        <f t="shared" si="3"/>
        <v>245250.78235769132</v>
      </c>
      <c r="AG62" s="37">
        <f t="shared" si="4"/>
        <v>2937223.1323576909</v>
      </c>
      <c r="AH62" s="37" t="b">
        <f t="shared" si="5"/>
        <v>1</v>
      </c>
      <c r="AI62" s="37"/>
      <c r="AJ62" s="37"/>
      <c r="AK62" s="37"/>
      <c r="AL62" s="37"/>
      <c r="AM62" s="37"/>
      <c r="AN62" s="37"/>
      <c r="AO62" s="37"/>
      <c r="AP62" s="207"/>
      <c r="AR62" s="37"/>
      <c r="AS62" s="37"/>
      <c r="AT62" s="37"/>
      <c r="AU62" s="37"/>
      <c r="AV62" s="37"/>
      <c r="AW62" s="37"/>
      <c r="AX62" s="37"/>
      <c r="AY62" s="37"/>
      <c r="AZ62" s="37"/>
      <c r="BA62" s="64"/>
    </row>
    <row r="63" spans="1:53">
      <c r="A63" s="231">
        <v>4193</v>
      </c>
      <c r="B63" s="4">
        <v>103501</v>
      </c>
      <c r="C63" s="4" t="s">
        <v>398</v>
      </c>
      <c r="D63" s="4" t="s">
        <v>399</v>
      </c>
      <c r="E63" s="213" t="s">
        <v>6</v>
      </c>
      <c r="F63" s="248" t="s">
        <v>229</v>
      </c>
      <c r="G63" s="37"/>
      <c r="H63" s="270">
        <f>_xlfn.IFNA(VLOOKUP(A63,ISB!$A$4:$BY$454,67,FALSE),0)</f>
        <v>4825715.1722230846</v>
      </c>
      <c r="I63" s="270">
        <f>_xlfn.IFNA(VLOOKUP(A63,ISB!$A$4:$BY$454,72,FALSE),0)</f>
        <v>-13080.6</v>
      </c>
      <c r="J63" s="271">
        <f>-_xlfn.IFNA(VLOOKUP(A63,ISB!$A$4:$BY$454,76,FALSE),0)</f>
        <v>-118189.2864</v>
      </c>
      <c r="K63" s="271">
        <f>_xlfn.IFNA(VLOOKUP(A63,ISB!$A$4:$BY$454,77,FALSE),0)</f>
        <v>4694445.2858230853</v>
      </c>
      <c r="L63" s="271">
        <f>_xlfn.IFNA(VLOOKUP(A63,'Post 16'!A:AC,13,FALSE),0)+_xlfn.IFNA(VLOOKUP(A63,'Post 16'!A:AC,17,FALSE),0)+(_xlfn.IFNA(VLOOKUP(A63,'Post 16'!A:AC,28,FALSE),0))</f>
        <v>0</v>
      </c>
      <c r="M63" s="271">
        <f>VLOOKUP(A63,HN!A:P,16,FALSE)</f>
        <v>0</v>
      </c>
      <c r="N63" s="271">
        <f>VLOOKUP(A63,HN!A:T,20,FALSE)</f>
        <v>0</v>
      </c>
      <c r="O63" s="271">
        <f>VLOOKUP(A63,EY!A:O,15,FALSE)</f>
        <v>0</v>
      </c>
      <c r="P63" s="271">
        <f>-VLOOKUP(A63,Adjustments!A:M,11,FALSE)</f>
        <v>-18745.650000000001</v>
      </c>
      <c r="Q63" s="273">
        <v>-312199.46999999997</v>
      </c>
      <c r="R63" s="273"/>
      <c r="S63" s="273">
        <f t="shared" si="1"/>
        <v>4363500.1658230852</v>
      </c>
      <c r="T63" s="37"/>
      <c r="U63" s="37">
        <v>363625.01</v>
      </c>
      <c r="V63" s="37">
        <v>363625.01</v>
      </c>
      <c r="W63" s="37">
        <v>363625.01</v>
      </c>
      <c r="X63" s="37">
        <v>363625.02</v>
      </c>
      <c r="Y63" s="37">
        <v>363625.01</v>
      </c>
      <c r="Z63" s="37">
        <f t="shared" si="6"/>
        <v>363625.02</v>
      </c>
      <c r="AA63" s="37">
        <f t="shared" si="6"/>
        <v>363625.02</v>
      </c>
      <c r="AB63" s="37">
        <f t="shared" si="6"/>
        <v>363625.02</v>
      </c>
      <c r="AC63" s="37">
        <f t="shared" si="6"/>
        <v>363625.02</v>
      </c>
      <c r="AD63" s="37">
        <f t="shared" si="6"/>
        <v>363625.02</v>
      </c>
      <c r="AE63" s="37">
        <f t="shared" si="6"/>
        <v>363625.02</v>
      </c>
      <c r="AF63" s="37">
        <f t="shared" si="3"/>
        <v>363624.98582308507</v>
      </c>
      <c r="AG63" s="37">
        <f t="shared" si="4"/>
        <v>4363500.1658230852</v>
      </c>
      <c r="AH63" s="37" t="b">
        <f t="shared" si="5"/>
        <v>1</v>
      </c>
      <c r="AI63" s="37"/>
      <c r="AJ63" s="37"/>
      <c r="AK63" s="37"/>
      <c r="AL63" s="37"/>
      <c r="AM63" s="37"/>
      <c r="AN63" s="37"/>
      <c r="AO63" s="37"/>
      <c r="AP63" s="207"/>
      <c r="AR63" s="37"/>
      <c r="AS63" s="37"/>
      <c r="AT63" s="37"/>
      <c r="AU63" s="37"/>
      <c r="AV63" s="37"/>
      <c r="AW63" s="37"/>
      <c r="AX63" s="37"/>
      <c r="AY63" s="37"/>
      <c r="AZ63" s="37"/>
      <c r="BA63" s="64"/>
    </row>
    <row r="64" spans="1:53">
      <c r="A64" s="231">
        <v>2293</v>
      </c>
      <c r="B64" s="4">
        <v>103317</v>
      </c>
      <c r="C64" s="4" t="s">
        <v>401</v>
      </c>
      <c r="D64" s="4" t="s">
        <v>402</v>
      </c>
      <c r="E64" s="213" t="s">
        <v>5</v>
      </c>
      <c r="F64" s="248" t="s">
        <v>229</v>
      </c>
      <c r="G64" s="37"/>
      <c r="H64" s="270">
        <f>_xlfn.IFNA(VLOOKUP(A64,ISB!$A$4:$BY$454,67,FALSE),0)</f>
        <v>3136262.7378976475</v>
      </c>
      <c r="I64" s="270">
        <f>_xlfn.IFNA(VLOOKUP(A64,ISB!$A$4:$BY$454,72,FALSE),0)</f>
        <v>-14415.25</v>
      </c>
      <c r="J64" s="271">
        <f>-_xlfn.IFNA(VLOOKUP(A64,ISB!$A$4:$BY$454,76,FALSE),0)</f>
        <v>-41074.752</v>
      </c>
      <c r="K64" s="271">
        <f>_xlfn.IFNA(VLOOKUP(A64,ISB!$A$4:$BY$454,77,FALSE),0)</f>
        <v>3080772.7358976477</v>
      </c>
      <c r="L64" s="271">
        <f>_xlfn.IFNA(VLOOKUP(A64,'Post 16'!A:AC,13,FALSE),0)+_xlfn.IFNA(VLOOKUP(A64,'Post 16'!A:AC,17,FALSE),0)+(_xlfn.IFNA(VLOOKUP(A64,'Post 16'!A:AC,28,FALSE),0))</f>
        <v>0</v>
      </c>
      <c r="M64" s="271">
        <f>VLOOKUP(A64,HN!A:P,16,FALSE)</f>
        <v>0</v>
      </c>
      <c r="N64" s="271">
        <f>VLOOKUP(A64,HN!A:T,20,FALSE)</f>
        <v>0</v>
      </c>
      <c r="O64" s="271">
        <f>VLOOKUP(A64,EY!A:O,15,FALSE)</f>
        <v>144663.00000000003</v>
      </c>
      <c r="P64" s="271">
        <f>-VLOOKUP(A64,Adjustments!A:M,11,FALSE)</f>
        <v>-12566.4</v>
      </c>
      <c r="Q64" s="273"/>
      <c r="R64" s="273"/>
      <c r="S64" s="273">
        <f t="shared" si="1"/>
        <v>3212869.3358976478</v>
      </c>
      <c r="T64" s="37"/>
      <c r="U64" s="37">
        <v>265491.45</v>
      </c>
      <c r="V64" s="37">
        <v>265491.45</v>
      </c>
      <c r="W64" s="37">
        <v>265491.45</v>
      </c>
      <c r="X64" s="37">
        <v>268488.33</v>
      </c>
      <c r="Y64" s="37">
        <v>268488.33</v>
      </c>
      <c r="Z64" s="37">
        <f t="shared" si="6"/>
        <v>268488.33</v>
      </c>
      <c r="AA64" s="37">
        <f t="shared" si="6"/>
        <v>268488.33</v>
      </c>
      <c r="AB64" s="37">
        <f t="shared" si="6"/>
        <v>268488.33</v>
      </c>
      <c r="AC64" s="37">
        <f t="shared" si="6"/>
        <v>268488.33</v>
      </c>
      <c r="AD64" s="37">
        <f t="shared" si="6"/>
        <v>268488.33</v>
      </c>
      <c r="AE64" s="37">
        <f t="shared" si="6"/>
        <v>268488.33</v>
      </c>
      <c r="AF64" s="37">
        <f t="shared" si="3"/>
        <v>268488.34589764709</v>
      </c>
      <c r="AG64" s="37">
        <f t="shared" si="4"/>
        <v>3212869.3358976478</v>
      </c>
      <c r="AH64" s="37" t="b">
        <f t="shared" si="5"/>
        <v>1</v>
      </c>
      <c r="AI64" s="37"/>
      <c r="AJ64" s="37"/>
      <c r="AK64" s="37"/>
      <c r="AL64" s="37"/>
      <c r="AM64" s="37"/>
      <c r="AN64" s="37"/>
      <c r="AO64" s="37"/>
      <c r="AP64" s="207"/>
      <c r="AR64" s="37"/>
      <c r="AS64" s="37"/>
      <c r="AT64" s="37"/>
      <c r="AU64" s="37"/>
      <c r="AV64" s="37"/>
      <c r="AW64" s="37"/>
      <c r="AX64" s="37"/>
      <c r="AY64" s="37"/>
      <c r="AZ64" s="37"/>
      <c r="BA64" s="64"/>
    </row>
    <row r="65" spans="1:53">
      <c r="A65" s="231">
        <v>2225</v>
      </c>
      <c r="B65" s="4">
        <v>103279</v>
      </c>
      <c r="C65" s="4" t="s">
        <v>404</v>
      </c>
      <c r="D65" s="4" t="s">
        <v>405</v>
      </c>
      <c r="E65" s="213" t="s">
        <v>5</v>
      </c>
      <c r="F65" s="248" t="s">
        <v>229</v>
      </c>
      <c r="G65" s="37"/>
      <c r="H65" s="270">
        <f>_xlfn.IFNA(VLOOKUP(A65,ISB!$A$4:$BY$454,67,FALSE),0)</f>
        <v>2004761.7141450041</v>
      </c>
      <c r="I65" s="270">
        <f>_xlfn.IFNA(VLOOKUP(A65,ISB!$A$4:$BY$454,72,FALSE),0)</f>
        <v>-9275.9</v>
      </c>
      <c r="J65" s="271">
        <f>-_xlfn.IFNA(VLOOKUP(A65,ISB!$A$4:$BY$454,76,FALSE),0)</f>
        <v>-20391.631000000001</v>
      </c>
      <c r="K65" s="271">
        <f>_xlfn.IFNA(VLOOKUP(A65,ISB!$A$4:$BY$454,77,FALSE),0)</f>
        <v>1975094.1831450041</v>
      </c>
      <c r="L65" s="271">
        <f>_xlfn.IFNA(VLOOKUP(A65,'Post 16'!A:AC,13,FALSE),0)+_xlfn.IFNA(VLOOKUP(A65,'Post 16'!A:AC,17,FALSE),0)+(_xlfn.IFNA(VLOOKUP(A65,'Post 16'!A:AC,28,FALSE),0))</f>
        <v>0</v>
      </c>
      <c r="M65" s="271">
        <f>VLOOKUP(A65,HN!A:P,16,FALSE)</f>
        <v>0</v>
      </c>
      <c r="N65" s="271">
        <f>VLOOKUP(A65,HN!A:T,20,FALSE)</f>
        <v>180267.76675000001</v>
      </c>
      <c r="O65" s="271">
        <f>VLOOKUP(A65,EY!A:O,15,FALSE)</f>
        <v>0</v>
      </c>
      <c r="P65" s="271">
        <f>-VLOOKUP(A65,Adjustments!A:M,11,FALSE)</f>
        <v>-9250</v>
      </c>
      <c r="Q65" s="273"/>
      <c r="R65" s="273"/>
      <c r="S65" s="273">
        <f t="shared" si="1"/>
        <v>2146111.9498950043</v>
      </c>
      <c r="T65" s="37"/>
      <c r="U65" s="37">
        <v>164591.18</v>
      </c>
      <c r="V65" s="37">
        <v>164591.18</v>
      </c>
      <c r="W65" s="37">
        <v>164591.18</v>
      </c>
      <c r="X65" s="37">
        <v>224680.43558333331</v>
      </c>
      <c r="Y65" s="37">
        <v>179613.5</v>
      </c>
      <c r="Z65" s="37">
        <f t="shared" si="6"/>
        <v>178292.07</v>
      </c>
      <c r="AA65" s="37">
        <f t="shared" si="6"/>
        <v>178292.07</v>
      </c>
      <c r="AB65" s="37">
        <f t="shared" si="6"/>
        <v>178292.07</v>
      </c>
      <c r="AC65" s="37">
        <f t="shared" si="6"/>
        <v>178292.07</v>
      </c>
      <c r="AD65" s="37">
        <f t="shared" si="6"/>
        <v>178292.07</v>
      </c>
      <c r="AE65" s="37">
        <f t="shared" si="6"/>
        <v>178292.07</v>
      </c>
      <c r="AF65" s="37">
        <f t="shared" si="3"/>
        <v>178292.0543116706</v>
      </c>
      <c r="AG65" s="37">
        <f t="shared" si="4"/>
        <v>2146111.9498950043</v>
      </c>
      <c r="AH65" s="37" t="b">
        <f t="shared" si="5"/>
        <v>1</v>
      </c>
      <c r="AI65" s="37"/>
      <c r="AJ65" s="37"/>
      <c r="AK65" s="37"/>
      <c r="AL65" s="37"/>
      <c r="AM65" s="37"/>
      <c r="AN65" s="37"/>
      <c r="AO65" s="37"/>
      <c r="AP65" s="207"/>
      <c r="AR65" s="37"/>
      <c r="AS65" s="37"/>
      <c r="AT65" s="37"/>
      <c r="AU65" s="37"/>
      <c r="AV65" s="37"/>
      <c r="AW65" s="37"/>
      <c r="AX65" s="37"/>
      <c r="AY65" s="37"/>
      <c r="AZ65" s="37"/>
      <c r="BA65" s="64"/>
    </row>
    <row r="66" spans="1:53">
      <c r="A66" s="231">
        <v>2412</v>
      </c>
      <c r="B66" s="4">
        <v>103349</v>
      </c>
      <c r="C66" s="4" t="s">
        <v>407</v>
      </c>
      <c r="D66" s="4" t="s">
        <v>408</v>
      </c>
      <c r="E66" s="213" t="s">
        <v>5</v>
      </c>
      <c r="F66" s="248" t="s">
        <v>229</v>
      </c>
      <c r="G66" s="37"/>
      <c r="H66" s="270">
        <f>_xlfn.IFNA(VLOOKUP(A66,ISB!$A$4:$BY$454,67,FALSE),0)</f>
        <v>2033796.3820777754</v>
      </c>
      <c r="I66" s="270">
        <f>_xlfn.IFNA(VLOOKUP(A66,ISB!$A$4:$BY$454,72,FALSE),0)</f>
        <v>-10504.33</v>
      </c>
      <c r="J66" s="271">
        <f>-_xlfn.IFNA(VLOOKUP(A66,ISB!$A$4:$BY$454,76,FALSE),0)</f>
        <v>-32064.806400000001</v>
      </c>
      <c r="K66" s="271">
        <f>_xlfn.IFNA(VLOOKUP(A66,ISB!$A$4:$BY$454,77,FALSE),0)</f>
        <v>1991227.2456777752</v>
      </c>
      <c r="L66" s="271">
        <f>_xlfn.IFNA(VLOOKUP(A66,'Post 16'!A:AC,13,FALSE),0)+_xlfn.IFNA(VLOOKUP(A66,'Post 16'!A:AC,17,FALSE),0)+(_xlfn.IFNA(VLOOKUP(A66,'Post 16'!A:AC,28,FALSE),0))</f>
        <v>0</v>
      </c>
      <c r="M66" s="271">
        <f>VLOOKUP(A66,HN!A:P,16,FALSE)</f>
        <v>0</v>
      </c>
      <c r="N66" s="271">
        <f>VLOOKUP(A66,HN!A:T,20,FALSE)</f>
        <v>0</v>
      </c>
      <c r="O66" s="271">
        <f>VLOOKUP(A66,EY!A:O,15,FALSE)</f>
        <v>0</v>
      </c>
      <c r="P66" s="271">
        <f>-VLOOKUP(A66,Adjustments!A:M,11,FALSE)</f>
        <v>-9471</v>
      </c>
      <c r="Q66" s="273"/>
      <c r="R66" s="273"/>
      <c r="S66" s="273">
        <f t="shared" si="1"/>
        <v>1981756.2456777752</v>
      </c>
      <c r="T66" s="37"/>
      <c r="U66" s="37">
        <v>165146.35</v>
      </c>
      <c r="V66" s="37">
        <v>165146.35</v>
      </c>
      <c r="W66" s="37">
        <v>165146.35</v>
      </c>
      <c r="X66" s="37">
        <v>165146.35999999999</v>
      </c>
      <c r="Y66" s="37">
        <v>165146.35</v>
      </c>
      <c r="Z66" s="37">
        <f t="shared" si="6"/>
        <v>165146.35999999999</v>
      </c>
      <c r="AA66" s="37">
        <f t="shared" si="6"/>
        <v>165146.35999999999</v>
      </c>
      <c r="AB66" s="37">
        <f t="shared" si="6"/>
        <v>165146.35999999999</v>
      </c>
      <c r="AC66" s="37">
        <f t="shared" si="6"/>
        <v>165146.35999999999</v>
      </c>
      <c r="AD66" s="37">
        <f t="shared" si="6"/>
        <v>165146.35999999999</v>
      </c>
      <c r="AE66" s="37">
        <f t="shared" si="6"/>
        <v>165146.35999999999</v>
      </c>
      <c r="AF66" s="37">
        <f t="shared" si="3"/>
        <v>165146.32567777578</v>
      </c>
      <c r="AG66" s="37">
        <f t="shared" si="4"/>
        <v>1981756.2456777752</v>
      </c>
      <c r="AH66" s="37" t="b">
        <f t="shared" si="5"/>
        <v>1</v>
      </c>
      <c r="AI66" s="37"/>
      <c r="AJ66" s="37"/>
      <c r="AK66" s="37"/>
      <c r="AL66" s="37"/>
      <c r="AM66" s="37"/>
      <c r="AN66" s="37"/>
      <c r="AO66" s="37"/>
      <c r="AP66" s="207"/>
      <c r="AR66" s="37"/>
      <c r="AS66" s="37"/>
      <c r="AT66" s="37"/>
      <c r="AU66" s="37"/>
      <c r="AV66" s="37"/>
      <c r="AW66" s="37"/>
      <c r="AX66" s="37"/>
      <c r="AY66" s="37"/>
      <c r="AZ66" s="37"/>
      <c r="BA66" s="64"/>
    </row>
    <row r="67" spans="1:53">
      <c r="A67" s="231">
        <v>2478</v>
      </c>
      <c r="B67" s="4">
        <v>132007</v>
      </c>
      <c r="C67" s="4" t="s">
        <v>565</v>
      </c>
      <c r="D67" s="4" t="s">
        <v>566</v>
      </c>
      <c r="E67" s="213" t="s">
        <v>5</v>
      </c>
      <c r="F67" s="248" t="s">
        <v>229</v>
      </c>
      <c r="G67" s="37"/>
      <c r="H67" s="270">
        <f>_xlfn.IFNA(VLOOKUP(A67,ISB!$A$4:$BY$454,67,FALSE),0)</f>
        <v>2006349.5825</v>
      </c>
      <c r="I67" s="270">
        <f>_xlfn.IFNA(VLOOKUP(A67,ISB!$A$4:$BY$454,72,FALSE),0)</f>
        <v>-10654.75</v>
      </c>
      <c r="J67" s="271">
        <f>-_xlfn.IFNA(VLOOKUP(A67,ISB!$A$4:$BY$454,76,FALSE),0)</f>
        <v>-47099.582499999997</v>
      </c>
      <c r="K67" s="271">
        <f>_xlfn.IFNA(VLOOKUP(A67,ISB!$A$4:$BY$454,77,FALSE),0)</f>
        <v>1948595.25</v>
      </c>
      <c r="L67" s="271">
        <f>_xlfn.IFNA(VLOOKUP(A67,'Post 16'!A:AC,13,FALSE),0)+_xlfn.IFNA(VLOOKUP(A67,'Post 16'!A:AC,17,FALSE),0)+(_xlfn.IFNA(VLOOKUP(A67,'Post 16'!A:AC,28,FALSE),0))</f>
        <v>0</v>
      </c>
      <c r="M67" s="271">
        <f>VLOOKUP(A67,HN!A:P,16,FALSE)</f>
        <v>0</v>
      </c>
      <c r="N67" s="271">
        <f>VLOOKUP(A67,HN!A:T,20,FALSE)</f>
        <v>0</v>
      </c>
      <c r="O67" s="271">
        <f>VLOOKUP(A67,EY!A:O,15,FALSE)</f>
        <v>160963.79999999999</v>
      </c>
      <c r="P67" s="271">
        <f>-VLOOKUP(A67,Adjustments!A:M,11,FALSE)</f>
        <v>-9471</v>
      </c>
      <c r="Q67" s="273"/>
      <c r="R67" s="273"/>
      <c r="S67" s="273">
        <f t="shared" si="1"/>
        <v>2100088.0499999998</v>
      </c>
      <c r="T67" s="37"/>
      <c r="U67" s="37">
        <v>173170.61</v>
      </c>
      <c r="V67" s="37">
        <v>173170.61</v>
      </c>
      <c r="W67" s="37">
        <v>173170.61</v>
      </c>
      <c r="X67" s="37">
        <v>175619.58</v>
      </c>
      <c r="Y67" s="37">
        <v>175619.58</v>
      </c>
      <c r="Z67" s="37">
        <f t="shared" si="6"/>
        <v>175619.58</v>
      </c>
      <c r="AA67" s="37">
        <f t="shared" si="6"/>
        <v>175619.58</v>
      </c>
      <c r="AB67" s="37">
        <f t="shared" si="6"/>
        <v>175619.58</v>
      </c>
      <c r="AC67" s="37">
        <f t="shared" si="6"/>
        <v>175619.58</v>
      </c>
      <c r="AD67" s="37">
        <f t="shared" si="6"/>
        <v>175619.58</v>
      </c>
      <c r="AE67" s="37">
        <f t="shared" si="6"/>
        <v>175619.58</v>
      </c>
      <c r="AF67" s="37">
        <f t="shared" si="3"/>
        <v>175619.57999999961</v>
      </c>
      <c r="AG67" s="37">
        <f t="shared" si="4"/>
        <v>2100088.0499999998</v>
      </c>
      <c r="AH67" s="37" t="b">
        <f t="shared" si="5"/>
        <v>1</v>
      </c>
      <c r="AI67" s="37"/>
      <c r="AJ67" s="37"/>
      <c r="AK67" s="37"/>
      <c r="AL67" s="37"/>
      <c r="AM67" s="37"/>
      <c r="AN67" s="37"/>
      <c r="AO67" s="37"/>
      <c r="AP67" s="207"/>
      <c r="AR67" s="37"/>
      <c r="AS67" s="37"/>
      <c r="AT67" s="37"/>
      <c r="AU67" s="37"/>
      <c r="AV67" s="37"/>
      <c r="AW67" s="37"/>
      <c r="AX67" s="37"/>
      <c r="AY67" s="37"/>
      <c r="AZ67" s="37"/>
      <c r="BA67" s="64"/>
    </row>
    <row r="68" spans="1:53">
      <c r="A68" s="231">
        <v>4063</v>
      </c>
      <c r="B68" s="4">
        <v>103486</v>
      </c>
      <c r="C68" s="4" t="s">
        <v>687</v>
      </c>
      <c r="D68" s="4" t="s">
        <v>688</v>
      </c>
      <c r="E68" s="213" t="s">
        <v>6</v>
      </c>
      <c r="F68" s="248" t="s">
        <v>229</v>
      </c>
      <c r="G68" s="37"/>
      <c r="H68" s="270">
        <f>_xlfn.IFNA(VLOOKUP(A68,ISB!$A$4:$BY$454,67,FALSE),0)</f>
        <v>6082851.2369859731</v>
      </c>
      <c r="I68" s="270">
        <f>_xlfn.IFNA(VLOOKUP(A68,ISB!$A$4:$BY$454,72,FALSE),0)</f>
        <v>-14822.1</v>
      </c>
      <c r="J68" s="271">
        <f>-_xlfn.IFNA(VLOOKUP(A68,ISB!$A$4:$BY$454,76,FALSE),0)</f>
        <v>-113419.3152</v>
      </c>
      <c r="K68" s="271">
        <f>_xlfn.IFNA(VLOOKUP(A68,ISB!$A$4:$BY$454,77,FALSE),0)</f>
        <v>5954609.8217859734</v>
      </c>
      <c r="L68" s="271">
        <f>_xlfn.IFNA(VLOOKUP(A68,'Post 16'!A:AC,13,FALSE),0)+_xlfn.IFNA(VLOOKUP(A68,'Post 16'!A:AC,17,FALSE),0)+(_xlfn.IFNA(VLOOKUP(A68,'Post 16'!A:AC,28,FALSE),0))</f>
        <v>0</v>
      </c>
      <c r="M68" s="271">
        <f>VLOOKUP(A68,HN!A:P,16,FALSE)</f>
        <v>0</v>
      </c>
      <c r="N68" s="271">
        <f>VLOOKUP(A68,HN!A:T,20,FALSE)</f>
        <v>0</v>
      </c>
      <c r="O68" s="271">
        <f>VLOOKUP(A68,EY!A:O,15,FALSE)</f>
        <v>0</v>
      </c>
      <c r="P68" s="271">
        <f>-VLOOKUP(A68,Adjustments!A:M,11,FALSE)</f>
        <v>-24312.75</v>
      </c>
      <c r="Q68" s="273"/>
      <c r="R68" s="273"/>
      <c r="S68" s="273">
        <f t="shared" si="1"/>
        <v>5930297.0717859734</v>
      </c>
      <c r="T68" s="37"/>
      <c r="U68" s="37">
        <v>494191.42</v>
      </c>
      <c r="V68" s="37">
        <v>494191.42</v>
      </c>
      <c r="W68" s="37">
        <v>494191.42</v>
      </c>
      <c r="X68" s="37">
        <v>494191.42</v>
      </c>
      <c r="Y68" s="37">
        <v>494191.42</v>
      </c>
      <c r="Z68" s="37">
        <f t="shared" si="6"/>
        <v>494191.42</v>
      </c>
      <c r="AA68" s="37">
        <f t="shared" si="6"/>
        <v>494191.42</v>
      </c>
      <c r="AB68" s="37">
        <f t="shared" si="6"/>
        <v>494191.42</v>
      </c>
      <c r="AC68" s="37">
        <f t="shared" si="6"/>
        <v>494191.42</v>
      </c>
      <c r="AD68" s="37">
        <f t="shared" si="6"/>
        <v>494191.42</v>
      </c>
      <c r="AE68" s="37">
        <f t="shared" si="6"/>
        <v>494191.42</v>
      </c>
      <c r="AF68" s="37">
        <f t="shared" si="3"/>
        <v>494191.45178597327</v>
      </c>
      <c r="AG68" s="37">
        <f t="shared" si="4"/>
        <v>5930297.0717859734</v>
      </c>
      <c r="AH68" s="37" t="b">
        <f t="shared" si="5"/>
        <v>1</v>
      </c>
      <c r="AI68" s="37"/>
      <c r="AJ68" s="37"/>
      <c r="AK68" s="37"/>
      <c r="AL68" s="37"/>
      <c r="AM68" s="37"/>
      <c r="AN68" s="37"/>
      <c r="AO68" s="37"/>
      <c r="AP68" s="207"/>
      <c r="AR68" s="37"/>
      <c r="AS68" s="37"/>
      <c r="AT68" s="37"/>
      <c r="AU68" s="37"/>
      <c r="AV68" s="37"/>
      <c r="AW68" s="37"/>
      <c r="AX68" s="37"/>
      <c r="AY68" s="37"/>
      <c r="AZ68" s="37"/>
      <c r="BA68" s="64"/>
    </row>
    <row r="69" spans="1:53">
      <c r="A69" s="231">
        <v>3375</v>
      </c>
      <c r="B69" s="4">
        <v>103462</v>
      </c>
      <c r="C69" s="4" t="s">
        <v>783</v>
      </c>
      <c r="D69" s="4" t="s">
        <v>784</v>
      </c>
      <c r="E69" s="213" t="s">
        <v>5</v>
      </c>
      <c r="F69" s="248" t="s">
        <v>229</v>
      </c>
      <c r="G69" s="37"/>
      <c r="H69" s="270">
        <f>_xlfn.IFNA(VLOOKUP(A69,ISB!$A$4:$BY$454,67,FALSE),0)</f>
        <v>2112851.8334071152</v>
      </c>
      <c r="I69" s="270">
        <f>_xlfn.IFNA(VLOOKUP(A69,ISB!$A$4:$BY$454,72,FALSE),0)</f>
        <v>-10429.120000000001</v>
      </c>
      <c r="J69" s="271">
        <f>-_xlfn.IFNA(VLOOKUP(A69,ISB!$A$4:$BY$454,76,FALSE),0)</f>
        <v>-3789.473</v>
      </c>
      <c r="K69" s="271">
        <f>_xlfn.IFNA(VLOOKUP(A69,ISB!$A$4:$BY$454,77,FALSE),0)</f>
        <v>2098633.2404071148</v>
      </c>
      <c r="L69" s="271">
        <f>_xlfn.IFNA(VLOOKUP(A69,'Post 16'!A:AC,13,FALSE),0)+_xlfn.IFNA(VLOOKUP(A69,'Post 16'!A:AC,17,FALSE),0)+(_xlfn.IFNA(VLOOKUP(A69,'Post 16'!A:AC,28,FALSE),0))</f>
        <v>0</v>
      </c>
      <c r="M69" s="271">
        <f>VLOOKUP(A69,HN!A:P,16,FALSE)</f>
        <v>0</v>
      </c>
      <c r="N69" s="271">
        <f>VLOOKUP(A69,HN!A:T,20,FALSE)</f>
        <v>0</v>
      </c>
      <c r="O69" s="271">
        <f>VLOOKUP(A69,EY!A:O,15,FALSE)</f>
        <v>0</v>
      </c>
      <c r="P69" s="271">
        <f>-VLOOKUP(A69,Adjustments!A:M,11,FALSE)</f>
        <v>-9471</v>
      </c>
      <c r="Q69" s="273"/>
      <c r="R69" s="273"/>
      <c r="S69" s="273">
        <f t="shared" si="1"/>
        <v>2089162.2404071148</v>
      </c>
      <c r="T69" s="37"/>
      <c r="U69" s="37">
        <v>174096.85</v>
      </c>
      <c r="V69" s="37">
        <v>174096.85</v>
      </c>
      <c r="W69" s="37">
        <v>174096.85</v>
      </c>
      <c r="X69" s="37">
        <v>174096.85</v>
      </c>
      <c r="Y69" s="37">
        <v>174096.86</v>
      </c>
      <c r="Z69" s="37">
        <f t="shared" si="6"/>
        <v>174096.85</v>
      </c>
      <c r="AA69" s="37">
        <f t="shared" si="6"/>
        <v>174096.85</v>
      </c>
      <c r="AB69" s="37">
        <f t="shared" si="6"/>
        <v>174096.85</v>
      </c>
      <c r="AC69" s="37">
        <f t="shared" si="6"/>
        <v>174096.85</v>
      </c>
      <c r="AD69" s="37">
        <f t="shared" si="6"/>
        <v>174096.85</v>
      </c>
      <c r="AE69" s="37">
        <f t="shared" si="6"/>
        <v>174096.85</v>
      </c>
      <c r="AF69" s="37">
        <f t="shared" si="3"/>
        <v>174096.88040711451</v>
      </c>
      <c r="AG69" s="37">
        <f t="shared" si="4"/>
        <v>2089162.2404071148</v>
      </c>
      <c r="AH69" s="37" t="b">
        <f t="shared" si="5"/>
        <v>1</v>
      </c>
      <c r="AI69" s="37"/>
      <c r="AJ69" s="37"/>
      <c r="AK69" s="37"/>
      <c r="AL69" s="37"/>
      <c r="AM69" s="37"/>
      <c r="AN69" s="37"/>
      <c r="AO69" s="37"/>
      <c r="AP69" s="207"/>
      <c r="AR69" s="37"/>
      <c r="AS69" s="37"/>
      <c r="AT69" s="37"/>
      <c r="AU69" s="37"/>
      <c r="AV69" s="37"/>
      <c r="AW69" s="37"/>
      <c r="AX69" s="37"/>
      <c r="AY69" s="37"/>
      <c r="AZ69" s="37"/>
      <c r="BA69" s="64"/>
    </row>
    <row r="70" spans="1:53">
      <c r="A70" s="231">
        <v>2010</v>
      </c>
      <c r="B70" s="4">
        <v>103159</v>
      </c>
      <c r="C70" s="4" t="s">
        <v>228</v>
      </c>
      <c r="D70" s="4" t="s">
        <v>230</v>
      </c>
      <c r="E70" s="213" t="s">
        <v>5</v>
      </c>
      <c r="F70" s="248" t="s">
        <v>229</v>
      </c>
      <c r="G70" s="37"/>
      <c r="H70" s="270">
        <f>_xlfn.IFNA(VLOOKUP(A70,ISB!$A$4:$BY$454,67,FALSE),0)</f>
        <v>2488810.1097947038</v>
      </c>
      <c r="I70" s="270">
        <f>_xlfn.IFNA(VLOOKUP(A70,ISB!$A$4:$BY$454,72,FALSE),0)</f>
        <v>-10629.68</v>
      </c>
      <c r="J70" s="271">
        <f>-_xlfn.IFNA(VLOOKUP(A70,ISB!$A$4:$BY$454,76,FALSE),0)</f>
        <v>-47169.715199999999</v>
      </c>
      <c r="K70" s="271">
        <f>_xlfn.IFNA(VLOOKUP(A70,ISB!$A$4:$BY$454,77,FALSE),0)</f>
        <v>2431010.7145947036</v>
      </c>
      <c r="L70" s="271">
        <f>_xlfn.IFNA(VLOOKUP(A70,'Post 16'!A:AC,13,FALSE),0)+_xlfn.IFNA(VLOOKUP(A70,'Post 16'!A:AC,17,FALSE),0)+(_xlfn.IFNA(VLOOKUP(A70,'Post 16'!A:AC,28,FALSE),0))</f>
        <v>0</v>
      </c>
      <c r="M70" s="271">
        <f>VLOOKUP(A70,HN!A:P,16,FALSE)</f>
        <v>0</v>
      </c>
      <c r="N70" s="271">
        <f>VLOOKUP(A70,HN!A:T,20,FALSE)</f>
        <v>0</v>
      </c>
      <c r="O70" s="271">
        <f>VLOOKUP(A70,EY!A:O,15,FALSE)</f>
        <v>0</v>
      </c>
      <c r="P70" s="271">
        <f>-VLOOKUP(A70,Adjustments!A:M,11,FALSE)</f>
        <v>-10600</v>
      </c>
      <c r="Q70" s="273"/>
      <c r="R70" s="273"/>
      <c r="S70" s="273">
        <f t="shared" si="1"/>
        <v>2420410.7145947036</v>
      </c>
      <c r="T70" s="37"/>
      <c r="U70" s="37">
        <v>201794.98</v>
      </c>
      <c r="V70" s="37">
        <v>201794.98</v>
      </c>
      <c r="W70" s="37">
        <v>201794.98</v>
      </c>
      <c r="X70" s="37">
        <v>201794.97</v>
      </c>
      <c r="Y70" s="37">
        <v>201794.98</v>
      </c>
      <c r="Z70" s="37">
        <f>ROUND((($S70-SUM($U70:$Y70))/7),2)</f>
        <v>201633.69</v>
      </c>
      <c r="AA70" s="37">
        <f t="shared" si="6"/>
        <v>201633.69</v>
      </c>
      <c r="AB70" s="37">
        <f t="shared" si="6"/>
        <v>201633.69</v>
      </c>
      <c r="AC70" s="37">
        <f t="shared" si="6"/>
        <v>201633.69</v>
      </c>
      <c r="AD70" s="37">
        <f t="shared" si="6"/>
        <v>201633.69</v>
      </c>
      <c r="AE70" s="37">
        <f t="shared" si="6"/>
        <v>201633.69</v>
      </c>
      <c r="AF70" s="37">
        <f t="shared" si="3"/>
        <v>201633.68459470384</v>
      </c>
      <c r="AG70" s="37">
        <f t="shared" si="4"/>
        <v>2420410.7145947036</v>
      </c>
      <c r="AH70" s="37" t="b">
        <f t="shared" si="5"/>
        <v>1</v>
      </c>
      <c r="AI70" s="37"/>
      <c r="AJ70" s="37"/>
      <c r="AK70" s="37"/>
      <c r="AL70" s="37"/>
      <c r="AM70" s="37"/>
      <c r="AN70" s="37"/>
      <c r="AO70" s="37"/>
      <c r="AP70" s="207"/>
      <c r="AR70" s="37"/>
      <c r="AS70" s="37"/>
      <c r="AT70" s="37"/>
      <c r="AU70" s="37"/>
      <c r="AV70" s="37"/>
      <c r="AW70" s="37"/>
      <c r="AX70" s="37"/>
      <c r="AY70" s="37"/>
      <c r="AZ70" s="37"/>
      <c r="BA70" s="64"/>
    </row>
    <row r="71" spans="1:53">
      <c r="A71" s="231">
        <v>2178</v>
      </c>
      <c r="B71" s="4">
        <v>103257</v>
      </c>
      <c r="C71" s="4" t="s">
        <v>538</v>
      </c>
      <c r="D71" s="4" t="s">
        <v>539</v>
      </c>
      <c r="E71" s="213" t="s">
        <v>5</v>
      </c>
      <c r="F71" s="248" t="s">
        <v>229</v>
      </c>
      <c r="G71" s="37" t="s">
        <v>1224</v>
      </c>
      <c r="H71" s="272">
        <f>_xlfn.IFNA(VLOOKUP(A71,ISB!$A$4:$BY$454,67,FALSE),0)</f>
        <v>1264766.9826998571</v>
      </c>
      <c r="I71" s="272">
        <f>_xlfn.IFNA(VLOOKUP(A71,ISB!$A$4:$BY$454,72,FALSE),0)</f>
        <v>-5239.63</v>
      </c>
      <c r="J71" s="273">
        <f>-_xlfn.IFNA(VLOOKUP(A71,ISB!$A$4:$BY$454,76,FALSE),0)</f>
        <v>-16400.144100000001</v>
      </c>
      <c r="K71" s="273">
        <f>_xlfn.IFNA(VLOOKUP(A71,ISB!$A$4:$BY$454,77,FALSE),0)</f>
        <v>1243127.2085998573</v>
      </c>
      <c r="L71" s="273">
        <f>_xlfn.IFNA(VLOOKUP(A71,'Post 16'!A:AC,13,FALSE),0)+(_xlfn.IFNA(VLOOKUP(A71,'Post 16'!A:AC,25,FALSE),0))</f>
        <v>0</v>
      </c>
      <c r="M71" s="273">
        <f>VLOOKUP(A71,HN!A:P,16,FALSE)</f>
        <v>0</v>
      </c>
      <c r="N71" s="273">
        <f>VLOOKUP(A71,HN!A:T,20,FALSE)</f>
        <v>0</v>
      </c>
      <c r="O71" s="273">
        <f>VLOOKUP(A71,EY!A:O,15,FALSE)</f>
        <v>86400.979999999981</v>
      </c>
      <c r="P71" s="273">
        <f>-VLOOKUP(A71,Adjustments!A:M,11,FALSE)</f>
        <v>-5139.75</v>
      </c>
      <c r="Q71" s="273"/>
      <c r="R71" s="273"/>
      <c r="S71" s="273">
        <f>SUM(K71:R71)</f>
        <v>1324388.4385998573</v>
      </c>
      <c r="T71" s="37"/>
      <c r="U71" s="37">
        <v>109748.71767067777</v>
      </c>
      <c r="V71" s="37">
        <v>109748.71767067777</v>
      </c>
      <c r="W71" s="37">
        <v>109748.71767067777</v>
      </c>
      <c r="X71" s="37">
        <v>110571.37</v>
      </c>
      <c r="Y71" s="37">
        <v>110571.36</v>
      </c>
      <c r="Z71" s="37">
        <f>ROUND((($S71-SUM($U71:$Y71))/7),2)</f>
        <v>110571.37</v>
      </c>
      <c r="AA71" s="37">
        <f t="shared" ref="AA71:AE71" si="7">ROUND((($S71-SUM($U71:$Y71))/7),2)</f>
        <v>110571.37</v>
      </c>
      <c r="AB71" s="37">
        <f t="shared" si="7"/>
        <v>110571.37</v>
      </c>
      <c r="AC71" s="37">
        <f t="shared" si="7"/>
        <v>110571.37</v>
      </c>
      <c r="AD71" s="37">
        <f t="shared" si="7"/>
        <v>110571.37</v>
      </c>
      <c r="AE71" s="37">
        <f t="shared" si="7"/>
        <v>110571.37</v>
      </c>
      <c r="AF71" s="37">
        <f t="shared" si="3"/>
        <v>110571.335587824</v>
      </c>
      <c r="AG71" s="37">
        <f>SUM(U71:AF71)</f>
        <v>1324388.4385998573</v>
      </c>
      <c r="AH71" s="37" t="b">
        <f>IF(AG71=S71,TRUE,FALSE)</f>
        <v>1</v>
      </c>
      <c r="AI71" s="37"/>
      <c r="AJ71" s="37"/>
      <c r="AK71" s="37"/>
      <c r="AL71" s="37"/>
      <c r="AM71" s="37"/>
      <c r="AN71" s="37"/>
      <c r="AO71" s="37"/>
      <c r="AP71" s="207"/>
      <c r="AR71" s="37"/>
      <c r="AS71" s="37"/>
      <c r="AT71" s="37"/>
      <c r="AU71" s="37"/>
      <c r="AV71" s="37"/>
      <c r="AW71" s="37"/>
      <c r="AX71" s="37"/>
      <c r="AY71" s="37"/>
      <c r="AZ71" s="37"/>
      <c r="BA71" s="64"/>
    </row>
    <row r="72" spans="1:53" s="218" customFormat="1" ht="15" thickBot="1">
      <c r="A72" s="233"/>
      <c r="B72" s="214"/>
      <c r="C72" s="214"/>
      <c r="D72" s="226" t="s">
        <v>1096</v>
      </c>
      <c r="E72" s="215"/>
      <c r="F72" s="249"/>
      <c r="G72" s="37"/>
      <c r="H72" s="274">
        <f>SUM(H8:H71)</f>
        <v>179174866.15166867</v>
      </c>
      <c r="I72" s="274">
        <f t="shared" ref="I72:S72" si="8">SUM(I8:I71)</f>
        <v>-643258.81999999995</v>
      </c>
      <c r="J72" s="274">
        <f t="shared" si="8"/>
        <v>-2385697.3196999999</v>
      </c>
      <c r="K72" s="274">
        <f t="shared" si="8"/>
        <v>176145910.0119687</v>
      </c>
      <c r="L72" s="274">
        <f t="shared" si="8"/>
        <v>9286653.333333334</v>
      </c>
      <c r="M72" s="274">
        <f t="shared" si="8"/>
        <v>32637537.513968863</v>
      </c>
      <c r="N72" s="274">
        <f t="shared" si="8"/>
        <v>1292278.561825</v>
      </c>
      <c r="O72" s="274">
        <f t="shared" si="8"/>
        <v>4756649.8233333342</v>
      </c>
      <c r="P72" s="274">
        <f t="shared" si="8"/>
        <v>-697290.30000000016</v>
      </c>
      <c r="Q72" s="274">
        <f t="shared" si="8"/>
        <v>-2100671.2776414286</v>
      </c>
      <c r="R72" s="274">
        <f t="shared" si="8"/>
        <v>-21631.38</v>
      </c>
      <c r="S72" s="274">
        <f t="shared" si="8"/>
        <v>221299436.28678772</v>
      </c>
      <c r="T72" s="216"/>
      <c r="U72" s="284">
        <f>SUM(U8:U71)</f>
        <v>18313327.387670685</v>
      </c>
      <c r="V72" s="284">
        <f t="shared" ref="V72:AF72" si="9">SUM(V8:V71)</f>
        <v>18313327.387670685</v>
      </c>
      <c r="W72" s="284">
        <f t="shared" si="9"/>
        <v>18313327.387670685</v>
      </c>
      <c r="X72" s="284">
        <f t="shared" si="9"/>
        <v>18795539.600608334</v>
      </c>
      <c r="Y72" s="284">
        <f t="shared" si="9"/>
        <v>18472469.999999996</v>
      </c>
      <c r="Z72" s="284">
        <f t="shared" si="9"/>
        <v>18441634.940000001</v>
      </c>
      <c r="AA72" s="284">
        <f t="shared" si="9"/>
        <v>18441634.940000001</v>
      </c>
      <c r="AB72" s="284">
        <f t="shared" si="9"/>
        <v>18441634.940000001</v>
      </c>
      <c r="AC72" s="284">
        <f t="shared" si="9"/>
        <v>18441634.940000001</v>
      </c>
      <c r="AD72" s="284">
        <f t="shared" si="9"/>
        <v>18441634.940000001</v>
      </c>
      <c r="AE72" s="284">
        <f t="shared" si="9"/>
        <v>18441634.940000001</v>
      </c>
      <c r="AF72" s="284">
        <f t="shared" si="9"/>
        <v>18441634.883167382</v>
      </c>
      <c r="AG72" s="284">
        <f t="shared" ref="AG72" si="10">SUM(AG8:AG70)</f>
        <v>219975047.84818786</v>
      </c>
      <c r="AH72" s="216"/>
      <c r="AI72" s="216"/>
      <c r="AJ72" s="216"/>
      <c r="AK72" s="216"/>
      <c r="AL72" s="216"/>
      <c r="AM72" s="216"/>
      <c r="AN72" s="216"/>
      <c r="AO72" s="216"/>
      <c r="AP72" s="217"/>
      <c r="AR72" s="216"/>
      <c r="AS72" s="216"/>
      <c r="AT72" s="216"/>
      <c r="AU72" s="216"/>
      <c r="AV72" s="216"/>
      <c r="AW72" s="216"/>
      <c r="AX72" s="216"/>
      <c r="AY72" s="216"/>
      <c r="AZ72" s="216"/>
      <c r="BA72" s="219"/>
    </row>
    <row r="73" spans="1:53" ht="15" thickTop="1">
      <c r="A73" s="231"/>
      <c r="B73" s="4"/>
      <c r="C73" s="4"/>
      <c r="D73" s="4"/>
      <c r="E73" s="213"/>
      <c r="F73" s="248"/>
      <c r="G73" s="37"/>
      <c r="H73" s="270"/>
      <c r="I73" s="270"/>
      <c r="J73" s="271"/>
      <c r="K73" s="271"/>
      <c r="L73" s="271"/>
      <c r="M73" s="271"/>
      <c r="N73" s="271"/>
      <c r="O73" s="271"/>
      <c r="P73" s="271"/>
      <c r="Q73" s="271"/>
      <c r="R73" s="271"/>
      <c r="S73" s="271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207"/>
      <c r="AR73" s="37"/>
      <c r="AS73" s="37"/>
      <c r="AT73" s="37"/>
      <c r="AU73" s="37"/>
      <c r="AV73" s="37"/>
      <c r="AW73" s="37"/>
      <c r="AX73" s="37"/>
      <c r="AY73" s="37"/>
      <c r="AZ73" s="37"/>
      <c r="BA73" s="64"/>
    </row>
    <row r="74" spans="1:53">
      <c r="A74" s="231">
        <v>1021</v>
      </c>
      <c r="B74" s="4">
        <v>103134</v>
      </c>
      <c r="C74" s="4" t="s">
        <v>670</v>
      </c>
      <c r="D74" s="4" t="s">
        <v>671</v>
      </c>
      <c r="E74" s="213" t="s">
        <v>180</v>
      </c>
      <c r="F74" s="248" t="s">
        <v>411</v>
      </c>
      <c r="G74" s="37"/>
      <c r="H74" s="272">
        <f>_xlfn.IFNA(VLOOKUP(A74,ISB!$A$4:$BY$454,67,FALSE),0)</f>
        <v>0</v>
      </c>
      <c r="I74" s="272">
        <f>_xlfn.IFNA(VLOOKUP(A74,ISB!$A$4:$BY$454,72,FALSE),0)</f>
        <v>0</v>
      </c>
      <c r="J74" s="273">
        <f>-_xlfn.IFNA(VLOOKUP(A74,ISB!$A$4:$BY$454,76,FALSE),0)</f>
        <v>0</v>
      </c>
      <c r="K74" s="273">
        <f>_xlfn.IFNA(VLOOKUP(A74,ISB!$A$4:$BY$454,77,FALSE),0)</f>
        <v>0</v>
      </c>
      <c r="L74" s="273">
        <f>_xlfn.IFNA(VLOOKUP(A74,'Post 16'!A:AC,13,FALSE),0)+(_xlfn.IFNA(VLOOKUP(A74,'Post 16'!A:AC,25,FALSE),0))</f>
        <v>0</v>
      </c>
      <c r="M74" s="273">
        <f>VLOOKUP(A74,HN!A:P,16,FALSE)</f>
        <v>0</v>
      </c>
      <c r="N74" s="273">
        <f>VLOOKUP(A74,HN!A:T,20,FALSE)</f>
        <v>0</v>
      </c>
      <c r="O74" s="273">
        <f>VLOOKUP(A74,EY!A:O,15,FALSE)</f>
        <v>383680.45666666667</v>
      </c>
      <c r="P74" s="273">
        <f>-VLOOKUP(A74,Adjustments!A:M,11,FALSE)</f>
        <v>0</v>
      </c>
      <c r="Q74" s="273"/>
      <c r="R74" s="273"/>
      <c r="S74" s="273">
        <f>SUM(K74:R74)</f>
        <v>383680.45666666667</v>
      </c>
      <c r="T74" s="37"/>
      <c r="U74" s="37">
        <v>24978.067337239972</v>
      </c>
      <c r="V74" s="37">
        <v>24978.067337239972</v>
      </c>
      <c r="W74" s="37">
        <v>24978.067337239972</v>
      </c>
      <c r="X74" s="37">
        <v>34305.14</v>
      </c>
      <c r="Y74" s="37">
        <v>34305.14</v>
      </c>
      <c r="Z74" s="37">
        <f t="shared" ref="Z74:AE89" si="11">ROUND((($S74-SUM($U74:$Y74))/7),2)</f>
        <v>34305.14</v>
      </c>
      <c r="AA74" s="37">
        <f t="shared" si="11"/>
        <v>34305.14</v>
      </c>
      <c r="AB74" s="37">
        <f t="shared" si="11"/>
        <v>34305.14</v>
      </c>
      <c r="AC74" s="37">
        <f t="shared" si="11"/>
        <v>34305.14</v>
      </c>
      <c r="AD74" s="37">
        <f t="shared" si="11"/>
        <v>34305.14</v>
      </c>
      <c r="AE74" s="37">
        <f t="shared" si="11"/>
        <v>34305.14</v>
      </c>
      <c r="AF74" s="37">
        <f t="shared" ref="AF74:AF137" si="12">($S74-SUM($U74:$AE74))/1</f>
        <v>34305.134654946683</v>
      </c>
      <c r="AG74" s="37">
        <f t="shared" ref="AG74:AG137" si="13">SUM(U74:AF74)</f>
        <v>383680.45666666667</v>
      </c>
      <c r="AH74" s="37" t="b">
        <f t="shared" ref="AH74:AH137" si="14">IF(AG74=S74,TRUE,FALSE)</f>
        <v>1</v>
      </c>
      <c r="AI74" s="37"/>
      <c r="AJ74" s="37"/>
      <c r="AK74" s="37"/>
      <c r="AL74" s="37"/>
      <c r="AM74" s="37"/>
      <c r="AN74" s="37"/>
      <c r="AO74" s="37"/>
      <c r="AP74" s="207"/>
      <c r="AR74" s="37"/>
      <c r="AS74" s="37"/>
      <c r="AT74" s="37"/>
      <c r="AU74" s="37"/>
      <c r="AV74" s="37"/>
      <c r="AW74" s="37"/>
      <c r="AX74" s="37"/>
      <c r="AY74" s="37"/>
      <c r="AZ74" s="37"/>
      <c r="BA74" s="64"/>
    </row>
    <row r="75" spans="1:53">
      <c r="A75" s="231">
        <v>1027</v>
      </c>
      <c r="B75" s="4">
        <v>103140</v>
      </c>
      <c r="C75" s="4" t="s">
        <v>410</v>
      </c>
      <c r="D75" s="4" t="s">
        <v>412</v>
      </c>
      <c r="E75" s="213" t="s">
        <v>180</v>
      </c>
      <c r="F75" s="248" t="s">
        <v>411</v>
      </c>
      <c r="G75" s="37"/>
      <c r="H75" s="272">
        <f>_xlfn.IFNA(VLOOKUP(A75,ISB!$A$4:$BY$454,67,FALSE),0)</f>
        <v>0</v>
      </c>
      <c r="I75" s="272">
        <f>_xlfn.IFNA(VLOOKUP(A75,ISB!$A$4:$BY$454,72,FALSE),0)</f>
        <v>0</v>
      </c>
      <c r="J75" s="273">
        <f>-_xlfn.IFNA(VLOOKUP(A75,ISB!$A$4:$BY$454,76,FALSE),0)</f>
        <v>0</v>
      </c>
      <c r="K75" s="273">
        <f>_xlfn.IFNA(VLOOKUP(A75,ISB!$A$4:$BY$454,77,FALSE),0)</f>
        <v>0</v>
      </c>
      <c r="L75" s="273">
        <f>_xlfn.IFNA(VLOOKUP(A75,'Post 16'!A:AC,13,FALSE),0)+(_xlfn.IFNA(VLOOKUP(A75,'Post 16'!A:AC,25,FALSE),0))</f>
        <v>0</v>
      </c>
      <c r="M75" s="273">
        <f>VLOOKUP(A75,HN!A:P,16,FALSE)</f>
        <v>0</v>
      </c>
      <c r="N75" s="273">
        <f>VLOOKUP(A75,HN!A:T,20,FALSE)</f>
        <v>0</v>
      </c>
      <c r="O75" s="273">
        <f>VLOOKUP(A75,EY!A:O,15,FALSE)</f>
        <v>823792.27666666661</v>
      </c>
      <c r="P75" s="273">
        <f>-VLOOKUP(A75,Adjustments!A:M,11,FALSE)</f>
        <v>-3291.75</v>
      </c>
      <c r="Q75" s="273"/>
      <c r="R75" s="273"/>
      <c r="S75" s="273">
        <f t="shared" ref="S75:S138" si="15">SUM(K75:R75)</f>
        <v>820500.52666666661</v>
      </c>
      <c r="T75" s="37"/>
      <c r="U75" s="37">
        <v>49237.776091375039</v>
      </c>
      <c r="V75" s="37">
        <v>49237.776091375039</v>
      </c>
      <c r="W75" s="37">
        <v>49237.776091375039</v>
      </c>
      <c r="X75" s="37">
        <v>74754.13</v>
      </c>
      <c r="Y75" s="37">
        <v>74754.13</v>
      </c>
      <c r="Z75" s="37">
        <f t="shared" ref="Z75:Z89" si="16">($S75-SUM($U75:$X75))/8</f>
        <v>74754.133549067687</v>
      </c>
      <c r="AA75" s="37">
        <f t="shared" si="11"/>
        <v>74754.13</v>
      </c>
      <c r="AB75" s="37">
        <f t="shared" si="11"/>
        <v>74754.13</v>
      </c>
      <c r="AC75" s="37">
        <f t="shared" si="11"/>
        <v>74754.13</v>
      </c>
      <c r="AD75" s="37">
        <f t="shared" si="11"/>
        <v>74754.13</v>
      </c>
      <c r="AE75" s="37">
        <f t="shared" si="11"/>
        <v>74754.13</v>
      </c>
      <c r="AF75" s="37">
        <f t="shared" si="12"/>
        <v>74754.154843473807</v>
      </c>
      <c r="AG75" s="37">
        <f t="shared" si="13"/>
        <v>820500.52666666661</v>
      </c>
      <c r="AH75" s="37" t="b">
        <f t="shared" si="14"/>
        <v>1</v>
      </c>
      <c r="AI75" s="37"/>
      <c r="AJ75" s="37"/>
      <c r="AK75" s="37"/>
      <c r="AL75" s="37"/>
      <c r="AM75" s="37"/>
      <c r="AN75" s="37"/>
      <c r="AO75" s="37"/>
      <c r="AP75" s="207"/>
      <c r="AR75" s="37"/>
      <c r="AS75" s="37"/>
      <c r="AT75" s="37"/>
      <c r="AU75" s="37"/>
      <c r="AV75" s="37"/>
      <c r="AW75" s="37"/>
      <c r="AX75" s="37"/>
      <c r="AY75" s="37"/>
      <c r="AZ75" s="37"/>
      <c r="BA75" s="64"/>
    </row>
    <row r="76" spans="1:53">
      <c r="A76" s="231">
        <v>1802</v>
      </c>
      <c r="B76" s="4">
        <v>103150</v>
      </c>
      <c r="C76" s="4" t="s">
        <v>451</v>
      </c>
      <c r="D76" s="4" t="s">
        <v>452</v>
      </c>
      <c r="E76" s="213" t="s">
        <v>180</v>
      </c>
      <c r="F76" s="248" t="s">
        <v>411</v>
      </c>
      <c r="G76" s="37"/>
      <c r="H76" s="272">
        <f>_xlfn.IFNA(VLOOKUP(A76,ISB!$A$4:$BY$454,67,FALSE),0)</f>
        <v>0</v>
      </c>
      <c r="I76" s="272">
        <f>_xlfn.IFNA(VLOOKUP(A76,ISB!$A$4:$BY$454,72,FALSE),0)</f>
        <v>0</v>
      </c>
      <c r="J76" s="273">
        <f>-_xlfn.IFNA(VLOOKUP(A76,ISB!$A$4:$BY$454,76,FALSE),0)</f>
        <v>0</v>
      </c>
      <c r="K76" s="273">
        <f>_xlfn.IFNA(VLOOKUP(A76,ISB!$A$4:$BY$454,77,FALSE),0)</f>
        <v>0</v>
      </c>
      <c r="L76" s="273">
        <f>_xlfn.IFNA(VLOOKUP(A76,'Post 16'!A:AC,13,FALSE),0)+(_xlfn.IFNA(VLOOKUP(A76,'Post 16'!A:AC,25,FALSE),0))</f>
        <v>0</v>
      </c>
      <c r="M76" s="273">
        <f>VLOOKUP(A76,HN!A:P,16,FALSE)</f>
        <v>0</v>
      </c>
      <c r="N76" s="273">
        <f>VLOOKUP(A76,HN!A:T,20,FALSE)</f>
        <v>0</v>
      </c>
      <c r="O76" s="273">
        <f>VLOOKUP(A76,EY!A:O,15,FALSE)</f>
        <v>531661.24</v>
      </c>
      <c r="P76" s="273">
        <f>-VLOOKUP(A76,Adjustments!A:M,11,FALSE)</f>
        <v>-3291.75</v>
      </c>
      <c r="Q76" s="273"/>
      <c r="R76" s="273"/>
      <c r="S76" s="273">
        <f t="shared" si="15"/>
        <v>528369.49</v>
      </c>
      <c r="T76" s="37"/>
      <c r="U76" s="37">
        <v>41176.309791089407</v>
      </c>
      <c r="V76" s="37">
        <v>41176.309791089407</v>
      </c>
      <c r="W76" s="37">
        <v>41176.309791089407</v>
      </c>
      <c r="X76" s="37">
        <v>44982.28</v>
      </c>
      <c r="Y76" s="37">
        <v>44982.29</v>
      </c>
      <c r="Z76" s="37">
        <f t="shared" si="16"/>
        <v>44982.285078341476</v>
      </c>
      <c r="AA76" s="37">
        <f t="shared" si="11"/>
        <v>44982.28</v>
      </c>
      <c r="AB76" s="37">
        <f t="shared" si="11"/>
        <v>44982.28</v>
      </c>
      <c r="AC76" s="37">
        <f t="shared" si="11"/>
        <v>44982.28</v>
      </c>
      <c r="AD76" s="37">
        <f t="shared" si="11"/>
        <v>44982.28</v>
      </c>
      <c r="AE76" s="37">
        <f t="shared" si="11"/>
        <v>44982.28</v>
      </c>
      <c r="AF76" s="37">
        <f t="shared" si="12"/>
        <v>44982.305548390141</v>
      </c>
      <c r="AG76" s="37">
        <f t="shared" si="13"/>
        <v>528369.49</v>
      </c>
      <c r="AH76" s="37" t="b">
        <f t="shared" si="14"/>
        <v>1</v>
      </c>
      <c r="AI76" s="37"/>
      <c r="AJ76" s="37"/>
      <c r="AK76" s="37"/>
      <c r="AL76" s="37"/>
      <c r="AM76" s="37"/>
      <c r="AN76" s="37"/>
      <c r="AO76" s="37"/>
      <c r="AP76" s="207"/>
      <c r="AR76" s="37"/>
      <c r="AS76" s="37"/>
      <c r="AT76" s="37"/>
      <c r="AU76" s="37"/>
      <c r="AV76" s="37"/>
      <c r="AW76" s="37"/>
      <c r="AX76" s="37"/>
      <c r="AY76" s="37"/>
      <c r="AZ76" s="37"/>
      <c r="BA76" s="64"/>
    </row>
    <row r="77" spans="1:53">
      <c r="A77" s="231">
        <v>5949</v>
      </c>
      <c r="B77" s="4">
        <v>131465</v>
      </c>
      <c r="C77" s="4" t="s">
        <v>580</v>
      </c>
      <c r="D77" s="4" t="s">
        <v>581</v>
      </c>
      <c r="E77" s="213" t="s">
        <v>5</v>
      </c>
      <c r="F77" s="248" t="s">
        <v>411</v>
      </c>
      <c r="G77" s="37"/>
      <c r="H77" s="272">
        <f>_xlfn.IFNA(VLOOKUP(A77,ISB!$A$4:$BY$454,67,FALSE),0)</f>
        <v>3299660.9949954045</v>
      </c>
      <c r="I77" s="272">
        <f>_xlfn.IFNA(VLOOKUP(A77,ISB!$A$4:$BY$454,72,FALSE),0)</f>
        <v>-15718.89</v>
      </c>
      <c r="J77" s="273">
        <f>-_xlfn.IFNA(VLOOKUP(A77,ISB!$A$4:$BY$454,76,FALSE),0)</f>
        <v>-69242.6976</v>
      </c>
      <c r="K77" s="273">
        <f>_xlfn.IFNA(VLOOKUP(A77,ISB!$A$4:$BY$454,77,FALSE),0)</f>
        <v>3214699.4073954043</v>
      </c>
      <c r="L77" s="273">
        <f>_xlfn.IFNA(VLOOKUP(A77,'Post 16'!A:AC,13,FALSE),0)+(_xlfn.IFNA(VLOOKUP(A77,'Post 16'!A:AC,25,FALSE),0))</f>
        <v>0</v>
      </c>
      <c r="M77" s="273">
        <f>VLOOKUP(A77,HN!A:P,16,FALSE)</f>
        <v>0</v>
      </c>
      <c r="N77" s="273">
        <f>VLOOKUP(A77,HN!A:T,20,FALSE)</f>
        <v>0</v>
      </c>
      <c r="O77" s="273">
        <f>VLOOKUP(A77,EY!A:O,15,FALSE)</f>
        <v>0</v>
      </c>
      <c r="P77" s="273">
        <f>-VLOOKUP(A77,Adjustments!A:M,11,FALSE)</f>
        <v>-18745.650000000001</v>
      </c>
      <c r="Q77" s="273"/>
      <c r="R77" s="273"/>
      <c r="S77" s="273">
        <f t="shared" si="15"/>
        <v>3195953.7573954044</v>
      </c>
      <c r="T77" s="37"/>
      <c r="U77" s="37">
        <v>266329.47978295037</v>
      </c>
      <c r="V77" s="37">
        <v>266329.47978295037</v>
      </c>
      <c r="W77" s="37">
        <v>266329.47978295037</v>
      </c>
      <c r="X77" s="37">
        <v>266329.48</v>
      </c>
      <c r="Y77" s="37">
        <v>266329.48</v>
      </c>
      <c r="Z77" s="37">
        <f t="shared" si="16"/>
        <v>266329.47975581919</v>
      </c>
      <c r="AA77" s="37">
        <f t="shared" si="11"/>
        <v>266329.48</v>
      </c>
      <c r="AB77" s="37">
        <f t="shared" si="11"/>
        <v>266329.48</v>
      </c>
      <c r="AC77" s="37">
        <f t="shared" si="11"/>
        <v>266329.48</v>
      </c>
      <c r="AD77" s="37">
        <f t="shared" si="11"/>
        <v>266329.48</v>
      </c>
      <c r="AE77" s="37">
        <f t="shared" si="11"/>
        <v>266329.48</v>
      </c>
      <c r="AF77" s="37">
        <f t="shared" si="12"/>
        <v>266329.47829073435</v>
      </c>
      <c r="AG77" s="37">
        <f t="shared" si="13"/>
        <v>3195953.7573954044</v>
      </c>
      <c r="AH77" s="37" t="b">
        <f t="shared" si="14"/>
        <v>1</v>
      </c>
      <c r="AI77" s="37"/>
      <c r="AJ77" s="37"/>
      <c r="AK77" s="37"/>
      <c r="AL77" s="37"/>
      <c r="AM77" s="37"/>
      <c r="AN77" s="37"/>
      <c r="AO77" s="37"/>
      <c r="AP77" s="207"/>
      <c r="AR77" s="37"/>
      <c r="AS77" s="37"/>
      <c r="AT77" s="37"/>
      <c r="AU77" s="37"/>
      <c r="AV77" s="37"/>
      <c r="AW77" s="37"/>
      <c r="AX77" s="37"/>
      <c r="AY77" s="37"/>
      <c r="AZ77" s="37"/>
      <c r="BA77" s="64"/>
    </row>
    <row r="78" spans="1:53">
      <c r="A78" s="231">
        <v>2062</v>
      </c>
      <c r="B78" s="4">
        <v>103192</v>
      </c>
      <c r="C78" s="4" t="s">
        <v>583</v>
      </c>
      <c r="D78" s="4" t="s">
        <v>584</v>
      </c>
      <c r="E78" s="213" t="s">
        <v>5</v>
      </c>
      <c r="F78" s="248" t="s">
        <v>411</v>
      </c>
      <c r="G78" s="37"/>
      <c r="H78" s="272">
        <f>_xlfn.IFNA(VLOOKUP(A78,ISB!$A$4:$BY$454,67,FALSE),0)</f>
        <v>2435846.0107222856</v>
      </c>
      <c r="I78" s="272">
        <f>_xlfn.IFNA(VLOOKUP(A78,ISB!$A$4:$BY$454,72,FALSE),0)</f>
        <v>-10228.56</v>
      </c>
      <c r="J78" s="273">
        <f>-_xlfn.IFNA(VLOOKUP(A78,ISB!$A$4:$BY$454,76,FALSE),0)</f>
        <v>-48655.933100000002</v>
      </c>
      <c r="K78" s="273">
        <f>_xlfn.IFNA(VLOOKUP(A78,ISB!$A$4:$BY$454,77,FALSE),0)</f>
        <v>2376961.5176222855</v>
      </c>
      <c r="L78" s="273">
        <f>_xlfn.IFNA(VLOOKUP(A78,'Post 16'!A:AC,13,FALSE),0)+(_xlfn.IFNA(VLOOKUP(A78,'Post 16'!A:AC,25,FALSE),0))</f>
        <v>0</v>
      </c>
      <c r="M78" s="273">
        <f>VLOOKUP(A78,HN!A:P,16,FALSE)</f>
        <v>0</v>
      </c>
      <c r="N78" s="273">
        <f>VLOOKUP(A78,HN!A:T,20,FALSE)</f>
        <v>0</v>
      </c>
      <c r="O78" s="273">
        <f>VLOOKUP(A78,EY!A:O,15,FALSE)</f>
        <v>150514.5</v>
      </c>
      <c r="P78" s="273">
        <f>-VLOOKUP(A78,Adjustments!A:M,11,FALSE)</f>
        <v>-9471</v>
      </c>
      <c r="Q78" s="273"/>
      <c r="R78" s="273"/>
      <c r="S78" s="273">
        <f t="shared" si="15"/>
        <v>2518005.0176222855</v>
      </c>
      <c r="T78" s="37"/>
      <c r="U78" s="37">
        <v>210185.33789709522</v>
      </c>
      <c r="V78" s="37">
        <v>210185.33789709522</v>
      </c>
      <c r="W78" s="37">
        <v>210185.33789709522</v>
      </c>
      <c r="X78" s="37">
        <v>209716.56</v>
      </c>
      <c r="Y78" s="37">
        <v>209716.56</v>
      </c>
      <c r="Z78" s="37">
        <f t="shared" si="16"/>
        <v>209716.55549137498</v>
      </c>
      <c r="AA78" s="37">
        <f t="shared" si="11"/>
        <v>209716.55</v>
      </c>
      <c r="AB78" s="37">
        <f t="shared" si="11"/>
        <v>209716.55</v>
      </c>
      <c r="AC78" s="37">
        <f t="shared" si="11"/>
        <v>209716.55</v>
      </c>
      <c r="AD78" s="37">
        <f t="shared" si="11"/>
        <v>209716.55</v>
      </c>
      <c r="AE78" s="37">
        <f t="shared" si="11"/>
        <v>209716.55</v>
      </c>
      <c r="AF78" s="37">
        <f t="shared" si="12"/>
        <v>209716.57843962498</v>
      </c>
      <c r="AG78" s="37">
        <f t="shared" si="13"/>
        <v>2518005.0176222855</v>
      </c>
      <c r="AH78" s="37" t="b">
        <f t="shared" si="14"/>
        <v>1</v>
      </c>
      <c r="AI78" s="37"/>
      <c r="AJ78" s="37"/>
      <c r="AK78" s="37"/>
      <c r="AL78" s="37"/>
      <c r="AM78" s="37"/>
      <c r="AN78" s="37"/>
      <c r="AO78" s="37"/>
      <c r="AP78" s="207"/>
      <c r="AR78" s="37"/>
      <c r="AS78" s="37"/>
      <c r="AT78" s="37"/>
      <c r="AU78" s="37"/>
      <c r="AV78" s="37"/>
      <c r="AW78" s="37"/>
      <c r="AX78" s="37"/>
      <c r="AY78" s="37"/>
      <c r="AZ78" s="37"/>
      <c r="BA78" s="64"/>
    </row>
    <row r="79" spans="1:53">
      <c r="A79" s="231">
        <v>2014</v>
      </c>
      <c r="B79" s="4">
        <v>103162</v>
      </c>
      <c r="C79" s="4" t="s">
        <v>586</v>
      </c>
      <c r="D79" s="4" t="s">
        <v>587</v>
      </c>
      <c r="E79" s="213" t="s">
        <v>5</v>
      </c>
      <c r="F79" s="248" t="s">
        <v>411</v>
      </c>
      <c r="G79" s="37"/>
      <c r="H79" s="272">
        <f>_xlfn.IFNA(VLOOKUP(A79,ISB!$A$4:$BY$454,67,FALSE),0)</f>
        <v>2197984.9171745693</v>
      </c>
      <c r="I79" s="272">
        <f>_xlfn.IFNA(VLOOKUP(A79,ISB!$A$4:$BY$454,72,FALSE),0)</f>
        <v>-9852.51</v>
      </c>
      <c r="J79" s="273">
        <f>-_xlfn.IFNA(VLOOKUP(A79,ISB!$A$4:$BY$454,76,FALSE),0)</f>
        <v>-34184.793599999997</v>
      </c>
      <c r="K79" s="273">
        <f>_xlfn.IFNA(VLOOKUP(A79,ISB!$A$4:$BY$454,77,FALSE),0)</f>
        <v>2153947.6135745696</v>
      </c>
      <c r="L79" s="273">
        <f>_xlfn.IFNA(VLOOKUP(A79,'Post 16'!A:AC,13,FALSE),0)+(_xlfn.IFNA(VLOOKUP(A79,'Post 16'!A:AC,25,FALSE),0))</f>
        <v>0</v>
      </c>
      <c r="M79" s="273">
        <f>VLOOKUP(A79,HN!A:P,16,FALSE)</f>
        <v>0</v>
      </c>
      <c r="N79" s="273">
        <f>VLOOKUP(A79,HN!A:T,20,FALSE)</f>
        <v>0</v>
      </c>
      <c r="O79" s="273">
        <f>VLOOKUP(A79,EY!A:O,15,FALSE)</f>
        <v>101929.59999999999</v>
      </c>
      <c r="P79" s="273">
        <f>-VLOOKUP(A79,Adjustments!A:M,11,FALSE)</f>
        <v>-9471</v>
      </c>
      <c r="Q79" s="273"/>
      <c r="R79" s="273"/>
      <c r="S79" s="273">
        <f t="shared" si="15"/>
        <v>2246406.2135745697</v>
      </c>
      <c r="T79" s="37"/>
      <c r="U79" s="37">
        <v>186127.85946454748</v>
      </c>
      <c r="V79" s="37">
        <v>186127.85946454748</v>
      </c>
      <c r="W79" s="37">
        <v>186127.85946454748</v>
      </c>
      <c r="X79" s="37">
        <v>187558.07</v>
      </c>
      <c r="Y79" s="37">
        <v>187558.07</v>
      </c>
      <c r="Z79" s="37">
        <f t="shared" si="16"/>
        <v>187558.07064761591</v>
      </c>
      <c r="AA79" s="37">
        <f t="shared" si="11"/>
        <v>187558.07</v>
      </c>
      <c r="AB79" s="37">
        <f t="shared" si="11"/>
        <v>187558.07</v>
      </c>
      <c r="AC79" s="37">
        <f t="shared" si="11"/>
        <v>187558.07</v>
      </c>
      <c r="AD79" s="37">
        <f t="shared" si="11"/>
        <v>187558.07</v>
      </c>
      <c r="AE79" s="37">
        <f t="shared" si="11"/>
        <v>187558.07</v>
      </c>
      <c r="AF79" s="37">
        <f t="shared" si="12"/>
        <v>187558.07453331095</v>
      </c>
      <c r="AG79" s="37">
        <f t="shared" si="13"/>
        <v>2246406.2135745697</v>
      </c>
      <c r="AH79" s="37" t="b">
        <f t="shared" si="14"/>
        <v>1</v>
      </c>
      <c r="AI79" s="37"/>
      <c r="AJ79" s="37"/>
      <c r="AK79" s="37"/>
      <c r="AL79" s="37"/>
      <c r="AM79" s="37"/>
      <c r="AN79" s="37"/>
      <c r="AO79" s="37"/>
      <c r="AP79" s="207"/>
      <c r="AR79" s="37"/>
      <c r="AS79" s="37"/>
      <c r="AT79" s="37"/>
      <c r="AU79" s="37"/>
      <c r="AV79" s="37"/>
      <c r="AW79" s="37"/>
      <c r="AX79" s="37"/>
      <c r="AY79" s="37"/>
      <c r="AZ79" s="37"/>
      <c r="BA79" s="64"/>
    </row>
    <row r="80" spans="1:53">
      <c r="A80" s="231">
        <v>7052</v>
      </c>
      <c r="B80" s="4">
        <v>103627</v>
      </c>
      <c r="C80" s="4" t="s">
        <v>589</v>
      </c>
      <c r="D80" s="4" t="s">
        <v>590</v>
      </c>
      <c r="E80" s="213" t="s">
        <v>1093</v>
      </c>
      <c r="F80" s="248" t="s">
        <v>411</v>
      </c>
      <c r="G80" s="37"/>
      <c r="H80" s="272">
        <f>_xlfn.IFNA(VLOOKUP(A80,ISB!$A$4:$BY$454,67,FALSE),0)</f>
        <v>0</v>
      </c>
      <c r="I80" s="272">
        <f>_xlfn.IFNA(VLOOKUP(A80,ISB!$A$4:$BY$454,72,FALSE),0)</f>
        <v>0</v>
      </c>
      <c r="J80" s="273">
        <f>-_xlfn.IFNA(VLOOKUP(A80,ISB!$A$4:$BY$454,76,FALSE),0)</f>
        <v>0</v>
      </c>
      <c r="K80" s="273">
        <f>_xlfn.IFNA(VLOOKUP(A80,ISB!$A$4:$BY$454,77,FALSE),0)</f>
        <v>0</v>
      </c>
      <c r="L80" s="273">
        <f>_xlfn.IFNA(VLOOKUP(A80,'Post 16'!A:AC,13,FALSE),0)+(_xlfn.IFNA(VLOOKUP(A80,'Post 16'!A:AC,25,FALSE),0))</f>
        <v>0</v>
      </c>
      <c r="M80" s="273">
        <f>VLOOKUP(A80,HN!A:P,16,FALSE)</f>
        <v>2427233.5347685842</v>
      </c>
      <c r="N80" s="273">
        <f>VLOOKUP(A80,HN!A:T,20,FALSE)</f>
        <v>0</v>
      </c>
      <c r="O80" s="273">
        <f>VLOOKUP(A80,EY!A:O,15,FALSE)</f>
        <v>2159.4</v>
      </c>
      <c r="P80" s="273">
        <f>-VLOOKUP(A80,Adjustments!A:M,11,FALSE)</f>
        <v>-3291.75</v>
      </c>
      <c r="Q80" s="273"/>
      <c r="R80" s="273"/>
      <c r="S80" s="273">
        <f t="shared" si="15"/>
        <v>2426101.1847685841</v>
      </c>
      <c r="T80" s="37"/>
      <c r="U80" s="37">
        <v>202147.89873071536</v>
      </c>
      <c r="V80" s="37">
        <v>202147.89873071536</v>
      </c>
      <c r="W80" s="37">
        <v>202147.89873071536</v>
      </c>
      <c r="X80" s="37">
        <v>202184.17</v>
      </c>
      <c r="Y80" s="37">
        <v>202184.16</v>
      </c>
      <c r="Z80" s="37">
        <f t="shared" si="16"/>
        <v>202184.16482205474</v>
      </c>
      <c r="AA80" s="37">
        <f t="shared" si="11"/>
        <v>202184.17</v>
      </c>
      <c r="AB80" s="37">
        <f t="shared" si="11"/>
        <v>202184.17</v>
      </c>
      <c r="AC80" s="37">
        <f t="shared" si="11"/>
        <v>202184.17</v>
      </c>
      <c r="AD80" s="37">
        <f t="shared" si="11"/>
        <v>202184.17</v>
      </c>
      <c r="AE80" s="37">
        <f t="shared" si="11"/>
        <v>202184.17</v>
      </c>
      <c r="AF80" s="37">
        <f t="shared" si="12"/>
        <v>202184.14375438355</v>
      </c>
      <c r="AG80" s="37">
        <f t="shared" si="13"/>
        <v>2426101.1847685841</v>
      </c>
      <c r="AH80" s="37" t="b">
        <f t="shared" si="14"/>
        <v>1</v>
      </c>
      <c r="AI80" s="37"/>
      <c r="AJ80" s="37"/>
      <c r="AK80" s="37"/>
      <c r="AL80" s="37"/>
      <c r="AM80" s="37"/>
      <c r="AN80" s="37"/>
      <c r="AO80" s="37"/>
      <c r="AP80" s="207"/>
      <c r="AR80" s="37"/>
      <c r="AS80" s="37"/>
      <c r="AT80" s="37"/>
      <c r="AU80" s="37"/>
      <c r="AV80" s="37"/>
      <c r="AW80" s="37"/>
      <c r="AX80" s="37"/>
      <c r="AY80" s="37"/>
      <c r="AZ80" s="37"/>
      <c r="BA80" s="64"/>
    </row>
    <row r="81" spans="1:53">
      <c r="A81" s="231">
        <v>2017</v>
      </c>
      <c r="B81" s="4">
        <v>103164</v>
      </c>
      <c r="C81" s="4" t="s">
        <v>592</v>
      </c>
      <c r="D81" s="4" t="s">
        <v>593</v>
      </c>
      <c r="E81" s="213" t="s">
        <v>5</v>
      </c>
      <c r="F81" s="248" t="s">
        <v>411</v>
      </c>
      <c r="G81" s="37"/>
      <c r="H81" s="272">
        <f>_xlfn.IFNA(VLOOKUP(A81,ISB!$A$4:$BY$454,67,FALSE),0)</f>
        <v>1671429.3538479132</v>
      </c>
      <c r="I81" s="272">
        <f>_xlfn.IFNA(VLOOKUP(A81,ISB!$A$4:$BY$454,72,FALSE),0)</f>
        <v>-6618.4800000000005</v>
      </c>
      <c r="J81" s="273">
        <f>-_xlfn.IFNA(VLOOKUP(A81,ISB!$A$4:$BY$454,76,FALSE),0)</f>
        <v>-28407.832600000002</v>
      </c>
      <c r="K81" s="273">
        <f>_xlfn.IFNA(VLOOKUP(A81,ISB!$A$4:$BY$454,77,FALSE),0)</f>
        <v>1636403.0412479131</v>
      </c>
      <c r="L81" s="273">
        <f>_xlfn.IFNA(VLOOKUP(A81,'Post 16'!A:AC,13,FALSE),0)+(_xlfn.IFNA(VLOOKUP(A81,'Post 16'!A:AC,25,FALSE),0))</f>
        <v>0</v>
      </c>
      <c r="M81" s="273">
        <f>VLOOKUP(A81,HN!A:P,16,FALSE)</f>
        <v>0</v>
      </c>
      <c r="N81" s="273">
        <f>VLOOKUP(A81,HN!A:T,20,FALSE)</f>
        <v>0</v>
      </c>
      <c r="O81" s="273">
        <f>VLOOKUP(A81,EY!A:O,15,FALSE)</f>
        <v>0</v>
      </c>
      <c r="P81" s="273">
        <f>-VLOOKUP(A81,Adjustments!A:M,11,FALSE)</f>
        <v>-5139.75</v>
      </c>
      <c r="Q81" s="273"/>
      <c r="R81" s="273"/>
      <c r="S81" s="273">
        <f t="shared" si="15"/>
        <v>1631263.2912479131</v>
      </c>
      <c r="T81" s="37"/>
      <c r="U81" s="37">
        <v>135938.60760399277</v>
      </c>
      <c r="V81" s="37">
        <v>135938.60760399277</v>
      </c>
      <c r="W81" s="37">
        <v>135938.60760399277</v>
      </c>
      <c r="X81" s="37">
        <v>135938.60999999999</v>
      </c>
      <c r="Y81" s="37">
        <v>135938.60999999999</v>
      </c>
      <c r="Z81" s="37">
        <f t="shared" si="16"/>
        <v>135938.60730449186</v>
      </c>
      <c r="AA81" s="37">
        <f t="shared" si="11"/>
        <v>135938.60999999999</v>
      </c>
      <c r="AB81" s="37">
        <f t="shared" si="11"/>
        <v>135938.60999999999</v>
      </c>
      <c r="AC81" s="37">
        <f t="shared" si="11"/>
        <v>135938.60999999999</v>
      </c>
      <c r="AD81" s="37">
        <f t="shared" si="11"/>
        <v>135938.60999999999</v>
      </c>
      <c r="AE81" s="37">
        <f t="shared" si="11"/>
        <v>135938.60999999999</v>
      </c>
      <c r="AF81" s="37">
        <f t="shared" si="12"/>
        <v>135938.59113144316</v>
      </c>
      <c r="AG81" s="37">
        <f t="shared" si="13"/>
        <v>1631263.2912479131</v>
      </c>
      <c r="AH81" s="37" t="b">
        <f t="shared" si="14"/>
        <v>1</v>
      </c>
      <c r="AI81" s="37"/>
      <c r="AJ81" s="37"/>
      <c r="AK81" s="37"/>
      <c r="AL81" s="37"/>
      <c r="AM81" s="37"/>
      <c r="AN81" s="37"/>
      <c r="AO81" s="37"/>
      <c r="AP81" s="207"/>
      <c r="AR81" s="37"/>
      <c r="AS81" s="37"/>
      <c r="AT81" s="37"/>
      <c r="AU81" s="37"/>
      <c r="AV81" s="37"/>
      <c r="AW81" s="37"/>
      <c r="AX81" s="37"/>
      <c r="AY81" s="37"/>
      <c r="AZ81" s="37"/>
      <c r="BA81" s="64"/>
    </row>
    <row r="82" spans="1:53">
      <c r="A82" s="231">
        <v>2016</v>
      </c>
      <c r="B82" s="4">
        <v>103163</v>
      </c>
      <c r="C82" s="4" t="s">
        <v>595</v>
      </c>
      <c r="D82" s="4" t="s">
        <v>596</v>
      </c>
      <c r="E82" s="213" t="s">
        <v>5</v>
      </c>
      <c r="F82" s="248" t="s">
        <v>411</v>
      </c>
      <c r="G82" s="37"/>
      <c r="H82" s="272">
        <f>_xlfn.IFNA(VLOOKUP(A82,ISB!$A$4:$BY$454,67,FALSE),0)</f>
        <v>2126471.8787264139</v>
      </c>
      <c r="I82" s="272">
        <f>_xlfn.IFNA(VLOOKUP(A82,ISB!$A$4:$BY$454,72,FALSE),0)</f>
        <v>-9050.27</v>
      </c>
      <c r="J82" s="273">
        <f>-_xlfn.IFNA(VLOOKUP(A82,ISB!$A$4:$BY$454,76,FALSE),0)</f>
        <v>-42611.738599999997</v>
      </c>
      <c r="K82" s="273">
        <f>_xlfn.IFNA(VLOOKUP(A82,ISB!$A$4:$BY$454,77,FALSE),0)</f>
        <v>2074809.8701264139</v>
      </c>
      <c r="L82" s="273">
        <f>_xlfn.IFNA(VLOOKUP(A82,'Post 16'!A:AC,13,FALSE),0)+(_xlfn.IFNA(VLOOKUP(A82,'Post 16'!A:AC,25,FALSE),0))</f>
        <v>0</v>
      </c>
      <c r="M82" s="273">
        <f>VLOOKUP(A82,HN!A:P,16,FALSE)</f>
        <v>0</v>
      </c>
      <c r="N82" s="273">
        <f>VLOOKUP(A82,HN!A:T,20,FALSE)</f>
        <v>0</v>
      </c>
      <c r="O82" s="273">
        <f>VLOOKUP(A82,EY!A:O,15,FALSE)</f>
        <v>0</v>
      </c>
      <c r="P82" s="273">
        <f>-VLOOKUP(A82,Adjustments!A:M,11,FALSE)</f>
        <v>-9471</v>
      </c>
      <c r="Q82" s="273"/>
      <c r="R82" s="273"/>
      <c r="S82" s="273">
        <f t="shared" si="15"/>
        <v>2065338.8701264139</v>
      </c>
      <c r="T82" s="37"/>
      <c r="U82" s="37">
        <v>172111.57251053449</v>
      </c>
      <c r="V82" s="37">
        <v>172111.57251053449</v>
      </c>
      <c r="W82" s="37">
        <v>172111.57251053449</v>
      </c>
      <c r="X82" s="37">
        <v>172111.57</v>
      </c>
      <c r="Y82" s="37">
        <v>172111.57</v>
      </c>
      <c r="Z82" s="37">
        <f t="shared" si="16"/>
        <v>172111.57282435131</v>
      </c>
      <c r="AA82" s="37">
        <f t="shared" si="11"/>
        <v>172111.57</v>
      </c>
      <c r="AB82" s="37">
        <f t="shared" si="11"/>
        <v>172111.57</v>
      </c>
      <c r="AC82" s="37">
        <f t="shared" si="11"/>
        <v>172111.57</v>
      </c>
      <c r="AD82" s="37">
        <f t="shared" si="11"/>
        <v>172111.57</v>
      </c>
      <c r="AE82" s="37">
        <f t="shared" si="11"/>
        <v>172111.57</v>
      </c>
      <c r="AF82" s="37">
        <f t="shared" si="12"/>
        <v>172111.58977045887</v>
      </c>
      <c r="AG82" s="37">
        <f t="shared" si="13"/>
        <v>2065338.8701264139</v>
      </c>
      <c r="AH82" s="37" t="b">
        <f t="shared" si="14"/>
        <v>1</v>
      </c>
      <c r="AI82" s="37"/>
      <c r="AJ82" s="37"/>
      <c r="AK82" s="37"/>
      <c r="AL82" s="37"/>
      <c r="AM82" s="37"/>
      <c r="AN82" s="37"/>
      <c r="AO82" s="37"/>
      <c r="AP82" s="207"/>
      <c r="AR82" s="37"/>
      <c r="AS82" s="37"/>
      <c r="AT82" s="37"/>
      <c r="AU82" s="37"/>
      <c r="AV82" s="37"/>
      <c r="AW82" s="37"/>
      <c r="AX82" s="37"/>
      <c r="AY82" s="37"/>
      <c r="AZ82" s="37"/>
      <c r="BA82" s="64"/>
    </row>
    <row r="83" spans="1:53">
      <c r="A83" s="231">
        <v>2241</v>
      </c>
      <c r="B83" s="4">
        <v>103291</v>
      </c>
      <c r="C83" s="4" t="s">
        <v>598</v>
      </c>
      <c r="D83" s="4" t="s">
        <v>599</v>
      </c>
      <c r="E83" s="213" t="s">
        <v>5</v>
      </c>
      <c r="F83" s="248" t="s">
        <v>411</v>
      </c>
      <c r="G83" s="37"/>
      <c r="H83" s="272">
        <f>_xlfn.IFNA(VLOOKUP(A83,ISB!$A$4:$BY$454,67,FALSE),0)</f>
        <v>1434928.1982366315</v>
      </c>
      <c r="I83" s="272">
        <f>_xlfn.IFNA(VLOOKUP(A83,ISB!$A$4:$BY$454,72,FALSE),0)</f>
        <v>-6142.15</v>
      </c>
      <c r="J83" s="273">
        <f>-_xlfn.IFNA(VLOOKUP(A83,ISB!$A$4:$BY$454,76,FALSE),0)</f>
        <v>-14721.388300000001</v>
      </c>
      <c r="K83" s="273">
        <f>_xlfn.IFNA(VLOOKUP(A83,ISB!$A$4:$BY$454,77,FALSE),0)</f>
        <v>1414064.6599366316</v>
      </c>
      <c r="L83" s="273">
        <f>_xlfn.IFNA(VLOOKUP(A83,'Post 16'!A:AC,13,FALSE),0)+(_xlfn.IFNA(VLOOKUP(A83,'Post 16'!A:AC,25,FALSE),0))</f>
        <v>0</v>
      </c>
      <c r="M83" s="273">
        <f>VLOOKUP(A83,HN!A:P,16,FALSE)</f>
        <v>0</v>
      </c>
      <c r="N83" s="273">
        <f>VLOOKUP(A83,HN!A:T,20,FALSE)</f>
        <v>0</v>
      </c>
      <c r="O83" s="273">
        <f>VLOOKUP(A83,EY!A:O,15,FALSE)</f>
        <v>0</v>
      </c>
      <c r="P83" s="273">
        <f>-VLOOKUP(A83,Adjustments!A:M,11,FALSE)</f>
        <v>-5139.75</v>
      </c>
      <c r="Q83" s="273"/>
      <c r="R83" s="273"/>
      <c r="S83" s="273">
        <f t="shared" si="15"/>
        <v>1408924.9099366316</v>
      </c>
      <c r="T83" s="37"/>
      <c r="U83" s="37">
        <v>117410.40916138596</v>
      </c>
      <c r="V83" s="37">
        <v>117410.40916138596</v>
      </c>
      <c r="W83" s="37">
        <v>117410.40916138596</v>
      </c>
      <c r="X83" s="37">
        <v>117410.41</v>
      </c>
      <c r="Y83" s="37">
        <v>117410.41</v>
      </c>
      <c r="Z83" s="37">
        <f t="shared" si="16"/>
        <v>117410.40905655921</v>
      </c>
      <c r="AA83" s="37">
        <f t="shared" si="11"/>
        <v>117410.41</v>
      </c>
      <c r="AB83" s="37">
        <f t="shared" si="11"/>
        <v>117410.41</v>
      </c>
      <c r="AC83" s="37">
        <f t="shared" si="11"/>
        <v>117410.41</v>
      </c>
      <c r="AD83" s="37">
        <f t="shared" si="11"/>
        <v>117410.41</v>
      </c>
      <c r="AE83" s="37">
        <f t="shared" si="11"/>
        <v>117410.41</v>
      </c>
      <c r="AF83" s="37">
        <f t="shared" si="12"/>
        <v>117410.40339591447</v>
      </c>
      <c r="AG83" s="37">
        <f t="shared" si="13"/>
        <v>1408924.9099366316</v>
      </c>
      <c r="AH83" s="37" t="b">
        <f t="shared" si="14"/>
        <v>1</v>
      </c>
      <c r="AI83" s="37"/>
      <c r="AJ83" s="37"/>
      <c r="AK83" s="37"/>
      <c r="AL83" s="37"/>
      <c r="AM83" s="37"/>
      <c r="AN83" s="37"/>
      <c r="AO83" s="37"/>
      <c r="AP83" s="207"/>
      <c r="AR83" s="37"/>
      <c r="AS83" s="37"/>
      <c r="AT83" s="37"/>
      <c r="AU83" s="37"/>
      <c r="AV83" s="37"/>
      <c r="AW83" s="37"/>
      <c r="AX83" s="37"/>
      <c r="AY83" s="37"/>
      <c r="AZ83" s="37"/>
      <c r="BA83" s="64"/>
    </row>
    <row r="84" spans="1:53">
      <c r="A84" s="231">
        <v>2456</v>
      </c>
      <c r="B84" s="4">
        <v>103383</v>
      </c>
      <c r="C84" s="4" t="s">
        <v>601</v>
      </c>
      <c r="D84" s="4" t="s">
        <v>602</v>
      </c>
      <c r="E84" s="213" t="s">
        <v>5</v>
      </c>
      <c r="F84" s="248" t="s">
        <v>411</v>
      </c>
      <c r="G84" s="37"/>
      <c r="H84" s="272">
        <f>_xlfn.IFNA(VLOOKUP(A84,ISB!$A$4:$BY$454,67,FALSE),0)</f>
        <v>1252336.9308885001</v>
      </c>
      <c r="I84" s="272">
        <f>_xlfn.IFNA(VLOOKUP(A84,ISB!$A$4:$BY$454,72,FALSE),0)</f>
        <v>-5014</v>
      </c>
      <c r="J84" s="273">
        <f>-_xlfn.IFNA(VLOOKUP(A84,ISB!$A$4:$BY$454,76,FALSE),0)</f>
        <v>-43724.735999999997</v>
      </c>
      <c r="K84" s="273">
        <f>_xlfn.IFNA(VLOOKUP(A84,ISB!$A$4:$BY$454,77,FALSE),0)</f>
        <v>1203598.1948885</v>
      </c>
      <c r="L84" s="273">
        <f>_xlfn.IFNA(VLOOKUP(A84,'Post 16'!A:AC,13,FALSE),0)+(_xlfn.IFNA(VLOOKUP(A84,'Post 16'!A:AC,25,FALSE),0))</f>
        <v>0</v>
      </c>
      <c r="M84" s="273">
        <f>VLOOKUP(A84,HN!A:P,16,FALSE)</f>
        <v>0</v>
      </c>
      <c r="N84" s="273">
        <f>VLOOKUP(A84,HN!A:T,20,FALSE)</f>
        <v>0</v>
      </c>
      <c r="O84" s="273">
        <f>VLOOKUP(A84,EY!A:O,15,FALSE)</f>
        <v>0</v>
      </c>
      <c r="P84" s="273">
        <f>-VLOOKUP(A84,Adjustments!A:M,11,FALSE)</f>
        <v>-5139.75</v>
      </c>
      <c r="Q84" s="273"/>
      <c r="R84" s="273"/>
      <c r="S84" s="273">
        <f t="shared" si="15"/>
        <v>1198458.4448885</v>
      </c>
      <c r="T84" s="37"/>
      <c r="U84" s="37">
        <v>99871.537074041669</v>
      </c>
      <c r="V84" s="37">
        <v>99871.537074041669</v>
      </c>
      <c r="W84" s="37">
        <v>99871.537074041669</v>
      </c>
      <c r="X84" s="37">
        <v>99871.54</v>
      </c>
      <c r="Y84" s="37">
        <v>99871.54</v>
      </c>
      <c r="Z84" s="37">
        <f t="shared" si="16"/>
        <v>99871.536708296888</v>
      </c>
      <c r="AA84" s="37">
        <f t="shared" si="11"/>
        <v>99871.54</v>
      </c>
      <c r="AB84" s="37">
        <f t="shared" si="11"/>
        <v>99871.54</v>
      </c>
      <c r="AC84" s="37">
        <f t="shared" si="11"/>
        <v>99871.54</v>
      </c>
      <c r="AD84" s="37">
        <f t="shared" si="11"/>
        <v>99871.54</v>
      </c>
      <c r="AE84" s="37">
        <f t="shared" si="11"/>
        <v>99871.54</v>
      </c>
      <c r="AF84" s="37">
        <f t="shared" si="12"/>
        <v>99871.516958078137</v>
      </c>
      <c r="AG84" s="37">
        <f t="shared" si="13"/>
        <v>1198458.4448885</v>
      </c>
      <c r="AH84" s="37" t="b">
        <f t="shared" si="14"/>
        <v>1</v>
      </c>
      <c r="AI84" s="37"/>
      <c r="AJ84" s="37"/>
      <c r="AK84" s="37"/>
      <c r="AL84" s="37"/>
      <c r="AM84" s="37"/>
      <c r="AN84" s="37"/>
      <c r="AO84" s="37"/>
      <c r="AP84" s="207"/>
      <c r="AR84" s="37"/>
      <c r="AS84" s="37"/>
      <c r="AT84" s="37"/>
      <c r="AU84" s="37"/>
      <c r="AV84" s="37"/>
      <c r="AW84" s="37"/>
      <c r="AX84" s="37"/>
      <c r="AY84" s="37"/>
      <c r="AZ84" s="37"/>
      <c r="BA84" s="64"/>
    </row>
    <row r="85" spans="1:53">
      <c r="A85" s="231">
        <v>2254</v>
      </c>
      <c r="B85" s="4">
        <v>103300</v>
      </c>
      <c r="C85" s="4" t="s">
        <v>604</v>
      </c>
      <c r="D85" s="4" t="s">
        <v>605</v>
      </c>
      <c r="E85" s="213" t="s">
        <v>5</v>
      </c>
      <c r="F85" s="248" t="s">
        <v>411</v>
      </c>
      <c r="G85" s="37"/>
      <c r="H85" s="272">
        <f>_xlfn.IFNA(VLOOKUP(A85,ISB!$A$4:$BY$454,67,FALSE),0)</f>
        <v>3085944.4070353308</v>
      </c>
      <c r="I85" s="272">
        <f>_xlfn.IFNA(VLOOKUP(A85,ISB!$A$4:$BY$454,72,FALSE),0)</f>
        <v>-13387.380000000001</v>
      </c>
      <c r="J85" s="273">
        <f>-_xlfn.IFNA(VLOOKUP(A85,ISB!$A$4:$BY$454,76,FALSE),0)</f>
        <v>-72609.561600000001</v>
      </c>
      <c r="K85" s="273">
        <f>_xlfn.IFNA(VLOOKUP(A85,ISB!$A$4:$BY$454,77,FALSE),0)</f>
        <v>2999947.4654353308</v>
      </c>
      <c r="L85" s="273">
        <f>_xlfn.IFNA(VLOOKUP(A85,'Post 16'!A:AC,13,FALSE),0)+(_xlfn.IFNA(VLOOKUP(A85,'Post 16'!A:AC,25,FALSE),0))</f>
        <v>0</v>
      </c>
      <c r="M85" s="273">
        <f>VLOOKUP(A85,HN!A:P,16,FALSE)</f>
        <v>0</v>
      </c>
      <c r="N85" s="273">
        <f>VLOOKUP(A85,HN!A:T,20,FALSE)</f>
        <v>243124.99999999997</v>
      </c>
      <c r="O85" s="273">
        <f>VLOOKUP(A85,EY!A:O,15,FALSE)</f>
        <v>0</v>
      </c>
      <c r="P85" s="273">
        <f>-VLOOKUP(A85,Adjustments!A:M,11,FALSE)</f>
        <v>-12566.4</v>
      </c>
      <c r="Q85" s="273"/>
      <c r="R85" s="273"/>
      <c r="S85" s="273">
        <f t="shared" si="15"/>
        <v>3230506.0654353308</v>
      </c>
      <c r="T85" s="37"/>
      <c r="U85" s="37">
        <v>248948.42211961091</v>
      </c>
      <c r="V85" s="37">
        <v>248948.42211961091</v>
      </c>
      <c r="W85" s="37">
        <v>248948.42211961091</v>
      </c>
      <c r="X85" s="37">
        <v>329990.08666666667</v>
      </c>
      <c r="Y85" s="37">
        <v>269208.84000000003</v>
      </c>
      <c r="Z85" s="37">
        <f t="shared" si="16"/>
        <v>269208.83905122895</v>
      </c>
      <c r="AA85" s="37">
        <f t="shared" si="11"/>
        <v>269208.84000000003</v>
      </c>
      <c r="AB85" s="37">
        <f t="shared" si="11"/>
        <v>269208.84000000003</v>
      </c>
      <c r="AC85" s="37">
        <f t="shared" si="11"/>
        <v>269208.84000000003</v>
      </c>
      <c r="AD85" s="37">
        <f t="shared" si="11"/>
        <v>269208.84000000003</v>
      </c>
      <c r="AE85" s="37">
        <f t="shared" si="11"/>
        <v>269208.84000000003</v>
      </c>
      <c r="AF85" s="37">
        <f t="shared" si="12"/>
        <v>269208.83335860306</v>
      </c>
      <c r="AG85" s="37">
        <f t="shared" si="13"/>
        <v>3230506.0654353308</v>
      </c>
      <c r="AH85" s="37" t="b">
        <f t="shared" si="14"/>
        <v>1</v>
      </c>
      <c r="AI85" s="37"/>
      <c r="AJ85" s="37"/>
      <c r="AK85" s="37"/>
      <c r="AL85" s="37"/>
      <c r="AM85" s="37"/>
      <c r="AN85" s="37"/>
      <c r="AO85" s="37"/>
      <c r="AP85" s="207"/>
      <c r="AR85" s="37"/>
      <c r="AS85" s="37"/>
      <c r="AT85" s="37"/>
      <c r="AU85" s="37"/>
      <c r="AV85" s="37"/>
      <c r="AW85" s="37"/>
      <c r="AX85" s="37"/>
      <c r="AY85" s="37"/>
      <c r="AZ85" s="37"/>
      <c r="BA85" s="64"/>
    </row>
    <row r="86" spans="1:53">
      <c r="A86" s="231">
        <v>1025</v>
      </c>
      <c r="B86" s="4">
        <v>103138</v>
      </c>
      <c r="C86" s="4" t="s">
        <v>607</v>
      </c>
      <c r="D86" s="4" t="s">
        <v>608</v>
      </c>
      <c r="E86" s="213" t="s">
        <v>180</v>
      </c>
      <c r="F86" s="248" t="s">
        <v>411</v>
      </c>
      <c r="G86" s="37"/>
      <c r="H86" s="272">
        <f>_xlfn.IFNA(VLOOKUP(A86,ISB!$A$4:$BY$454,67,FALSE),0)</f>
        <v>0</v>
      </c>
      <c r="I86" s="272">
        <f>_xlfn.IFNA(VLOOKUP(A86,ISB!$A$4:$BY$454,72,FALSE),0)</f>
        <v>0</v>
      </c>
      <c r="J86" s="273">
        <f>-_xlfn.IFNA(VLOOKUP(A86,ISB!$A$4:$BY$454,76,FALSE),0)</f>
        <v>0</v>
      </c>
      <c r="K86" s="273">
        <f>_xlfn.IFNA(VLOOKUP(A86,ISB!$A$4:$BY$454,77,FALSE),0)</f>
        <v>0</v>
      </c>
      <c r="L86" s="273">
        <f>_xlfn.IFNA(VLOOKUP(A86,'Post 16'!A:AC,13,FALSE),0)+(_xlfn.IFNA(VLOOKUP(A86,'Post 16'!A:AC,25,FALSE),0))</f>
        <v>0</v>
      </c>
      <c r="M86" s="273">
        <f>VLOOKUP(A86,HN!A:P,16,FALSE)</f>
        <v>0</v>
      </c>
      <c r="N86" s="273">
        <f>VLOOKUP(A86,HN!A:T,20,FALSE)</f>
        <v>0</v>
      </c>
      <c r="O86" s="273">
        <f>VLOOKUP(A86,EY!A:O,15,FALSE)</f>
        <v>791693.43666666676</v>
      </c>
      <c r="P86" s="273">
        <f>-VLOOKUP(A86,Adjustments!A:M,11,FALSE)</f>
        <v>-3291.75</v>
      </c>
      <c r="Q86" s="273"/>
      <c r="R86" s="273"/>
      <c r="S86" s="273">
        <f t="shared" si="15"/>
        <v>788401.68666666676</v>
      </c>
      <c r="T86" s="37"/>
      <c r="U86" s="37">
        <v>48903.878839696001</v>
      </c>
      <c r="V86" s="37">
        <v>48903.878839696001</v>
      </c>
      <c r="W86" s="37">
        <v>48903.878839696001</v>
      </c>
      <c r="X86" s="37">
        <v>71298.89</v>
      </c>
      <c r="Y86" s="37">
        <v>71298.899999999994</v>
      </c>
      <c r="Z86" s="37">
        <f t="shared" si="16"/>
        <v>71298.895018447336</v>
      </c>
      <c r="AA86" s="37">
        <f t="shared" si="11"/>
        <v>71298.89</v>
      </c>
      <c r="AB86" s="37">
        <f t="shared" si="11"/>
        <v>71298.89</v>
      </c>
      <c r="AC86" s="37">
        <f t="shared" si="11"/>
        <v>71298.89</v>
      </c>
      <c r="AD86" s="37">
        <f t="shared" si="11"/>
        <v>71298.89</v>
      </c>
      <c r="AE86" s="37">
        <f t="shared" si="11"/>
        <v>71298.89</v>
      </c>
      <c r="AF86" s="37">
        <f t="shared" si="12"/>
        <v>71298.915129131405</v>
      </c>
      <c r="AG86" s="37">
        <f t="shared" si="13"/>
        <v>788401.68666666676</v>
      </c>
      <c r="AH86" s="37" t="b">
        <f t="shared" si="14"/>
        <v>1</v>
      </c>
      <c r="AI86" s="37"/>
      <c r="AJ86" s="37"/>
      <c r="AK86" s="37"/>
      <c r="AL86" s="37"/>
      <c r="AM86" s="37"/>
      <c r="AN86" s="37"/>
      <c r="AO86" s="37"/>
      <c r="AP86" s="207"/>
      <c r="AR86" s="37"/>
      <c r="AS86" s="37"/>
      <c r="AT86" s="37"/>
      <c r="AU86" s="37"/>
      <c r="AV86" s="37"/>
      <c r="AW86" s="37"/>
      <c r="AX86" s="37"/>
      <c r="AY86" s="37"/>
      <c r="AZ86" s="37"/>
      <c r="BA86" s="64"/>
    </row>
    <row r="87" spans="1:53">
      <c r="A87" s="231">
        <v>3353</v>
      </c>
      <c r="B87" s="4">
        <v>103445</v>
      </c>
      <c r="C87" s="4" t="s">
        <v>610</v>
      </c>
      <c r="D87" s="4" t="s">
        <v>611</v>
      </c>
      <c r="E87" s="213" t="s">
        <v>5</v>
      </c>
      <c r="F87" s="248" t="s">
        <v>411</v>
      </c>
      <c r="G87" s="37"/>
      <c r="H87" s="272">
        <f>_xlfn.IFNA(VLOOKUP(A87,ISB!$A$4:$BY$454,67,FALSE),0)</f>
        <v>3016938.1831999999</v>
      </c>
      <c r="I87" s="272">
        <f>_xlfn.IFNA(VLOOKUP(A87,ISB!$A$4:$BY$454,72,FALSE),0)</f>
        <v>-16345.64</v>
      </c>
      <c r="J87" s="273">
        <f>-_xlfn.IFNA(VLOOKUP(A87,ISB!$A$4:$BY$454,76,FALSE),0)</f>
        <v>-11218.183199999999</v>
      </c>
      <c r="K87" s="273">
        <f>_xlfn.IFNA(VLOOKUP(A87,ISB!$A$4:$BY$454,77,FALSE),0)</f>
        <v>2989374.36</v>
      </c>
      <c r="L87" s="273">
        <f>_xlfn.IFNA(VLOOKUP(A87,'Post 16'!A:AC,13,FALSE),0)+(_xlfn.IFNA(VLOOKUP(A87,'Post 16'!A:AC,25,FALSE),0))</f>
        <v>0</v>
      </c>
      <c r="M87" s="273">
        <f>VLOOKUP(A87,HN!A:P,16,FALSE)</f>
        <v>0</v>
      </c>
      <c r="N87" s="273">
        <f>VLOOKUP(A87,HN!A:T,20,FALSE)</f>
        <v>0</v>
      </c>
      <c r="O87" s="273">
        <f>VLOOKUP(A87,EY!A:O,15,FALSE)</f>
        <v>0</v>
      </c>
      <c r="P87" s="273">
        <f>-VLOOKUP(A87,Adjustments!A:M,11,FALSE)</f>
        <v>-18745.650000000001</v>
      </c>
      <c r="Q87" s="273"/>
      <c r="R87" s="273"/>
      <c r="S87" s="273">
        <f t="shared" si="15"/>
        <v>2970628.71</v>
      </c>
      <c r="T87" s="37"/>
      <c r="U87" s="37">
        <v>247552.39249999999</v>
      </c>
      <c r="V87" s="37">
        <v>247552.39249999999</v>
      </c>
      <c r="W87" s="37">
        <v>247552.39249999999</v>
      </c>
      <c r="X87" s="37">
        <v>247552.39</v>
      </c>
      <c r="Y87" s="37">
        <v>247552.39</v>
      </c>
      <c r="Z87" s="37">
        <f t="shared" si="16"/>
        <v>247552.39281250001</v>
      </c>
      <c r="AA87" s="37">
        <f t="shared" si="11"/>
        <v>247552.39</v>
      </c>
      <c r="AB87" s="37">
        <f t="shared" si="11"/>
        <v>247552.39</v>
      </c>
      <c r="AC87" s="37">
        <f t="shared" si="11"/>
        <v>247552.39</v>
      </c>
      <c r="AD87" s="37">
        <f t="shared" si="11"/>
        <v>247552.39</v>
      </c>
      <c r="AE87" s="37">
        <f t="shared" si="11"/>
        <v>247552.39</v>
      </c>
      <c r="AF87" s="37">
        <f t="shared" si="12"/>
        <v>247552.40968749952</v>
      </c>
      <c r="AG87" s="37">
        <f t="shared" si="13"/>
        <v>2970628.71</v>
      </c>
      <c r="AH87" s="37" t="b">
        <f t="shared" si="14"/>
        <v>1</v>
      </c>
      <c r="AI87" s="37"/>
      <c r="AJ87" s="37"/>
      <c r="AK87" s="37"/>
      <c r="AL87" s="37"/>
      <c r="AM87" s="37"/>
      <c r="AN87" s="37"/>
      <c r="AO87" s="37"/>
      <c r="AP87" s="207"/>
      <c r="AR87" s="37"/>
      <c r="AS87" s="37"/>
      <c r="AT87" s="37"/>
      <c r="AU87" s="37"/>
      <c r="AV87" s="37"/>
      <c r="AW87" s="37"/>
      <c r="AX87" s="37"/>
      <c r="AY87" s="37"/>
      <c r="AZ87" s="37"/>
      <c r="BA87" s="64"/>
    </row>
    <row r="88" spans="1:53">
      <c r="A88" s="231">
        <v>1002</v>
      </c>
      <c r="B88" s="4">
        <v>103121</v>
      </c>
      <c r="C88" s="4" t="s">
        <v>613</v>
      </c>
      <c r="D88" s="4" t="s">
        <v>614</v>
      </c>
      <c r="E88" s="213" t="s">
        <v>180</v>
      </c>
      <c r="F88" s="248" t="s">
        <v>411</v>
      </c>
      <c r="G88" s="37"/>
      <c r="H88" s="272">
        <f>_xlfn.IFNA(VLOOKUP(A88,ISB!$A$4:$BY$454,67,FALSE),0)</f>
        <v>0</v>
      </c>
      <c r="I88" s="272">
        <f>_xlfn.IFNA(VLOOKUP(A88,ISB!$A$4:$BY$454,72,FALSE),0)</f>
        <v>0</v>
      </c>
      <c r="J88" s="273">
        <f>-_xlfn.IFNA(VLOOKUP(A88,ISB!$A$4:$BY$454,76,FALSE),0)</f>
        <v>0</v>
      </c>
      <c r="K88" s="273">
        <f>_xlfn.IFNA(VLOOKUP(A88,ISB!$A$4:$BY$454,77,FALSE),0)</f>
        <v>0</v>
      </c>
      <c r="L88" s="273">
        <f>_xlfn.IFNA(VLOOKUP(A88,'Post 16'!A:AC,13,FALSE),0)+(_xlfn.IFNA(VLOOKUP(A88,'Post 16'!A:AC,25,FALSE),0))</f>
        <v>0</v>
      </c>
      <c r="M88" s="273">
        <f>VLOOKUP(A88,HN!A:P,16,FALSE)</f>
        <v>0</v>
      </c>
      <c r="N88" s="273">
        <f>VLOOKUP(A88,HN!A:T,20,FALSE)</f>
        <v>0</v>
      </c>
      <c r="O88" s="273">
        <f>VLOOKUP(A88,EY!A:O,15,FALSE)</f>
        <v>851231.57666666666</v>
      </c>
      <c r="P88" s="273">
        <f>-VLOOKUP(A88,Adjustments!A:M,11,FALSE)</f>
        <v>-3291.75</v>
      </c>
      <c r="Q88" s="273"/>
      <c r="R88" s="273"/>
      <c r="S88" s="273">
        <f t="shared" si="15"/>
        <v>847939.82666666666</v>
      </c>
      <c r="T88" s="37"/>
      <c r="U88" s="37">
        <v>55270.4779370627</v>
      </c>
      <c r="V88" s="37">
        <v>55270.4779370627</v>
      </c>
      <c r="W88" s="37">
        <v>55270.4779370627</v>
      </c>
      <c r="X88" s="37">
        <v>75792.039999999994</v>
      </c>
      <c r="Y88" s="37">
        <v>75792.039999999994</v>
      </c>
      <c r="Z88" s="37">
        <f t="shared" si="16"/>
        <v>75792.044106934831</v>
      </c>
      <c r="AA88" s="37">
        <f t="shared" si="11"/>
        <v>75792.039999999994</v>
      </c>
      <c r="AB88" s="37">
        <f t="shared" si="11"/>
        <v>75792.039999999994</v>
      </c>
      <c r="AC88" s="37">
        <f t="shared" si="11"/>
        <v>75792.039999999994</v>
      </c>
      <c r="AD88" s="37">
        <f t="shared" si="11"/>
        <v>75792.039999999994</v>
      </c>
      <c r="AE88" s="37">
        <f t="shared" si="11"/>
        <v>75792.039999999994</v>
      </c>
      <c r="AF88" s="37">
        <f t="shared" si="12"/>
        <v>75792.068748543737</v>
      </c>
      <c r="AG88" s="37">
        <f t="shared" si="13"/>
        <v>847939.82666666666</v>
      </c>
      <c r="AH88" s="37" t="b">
        <f t="shared" si="14"/>
        <v>1</v>
      </c>
      <c r="AI88" s="37"/>
      <c r="AJ88" s="37"/>
      <c r="AK88" s="37"/>
      <c r="AL88" s="37"/>
      <c r="AM88" s="37"/>
      <c r="AN88" s="37"/>
      <c r="AO88" s="37"/>
      <c r="AP88" s="207"/>
      <c r="AR88" s="37"/>
      <c r="AS88" s="37"/>
      <c r="AT88" s="37"/>
      <c r="AU88" s="37"/>
      <c r="AV88" s="37"/>
      <c r="AW88" s="37"/>
      <c r="AX88" s="37"/>
      <c r="AY88" s="37"/>
      <c r="AZ88" s="37"/>
      <c r="BA88" s="64"/>
    </row>
    <row r="89" spans="1:53">
      <c r="A89" s="231">
        <v>1048</v>
      </c>
      <c r="B89" s="4">
        <v>103144</v>
      </c>
      <c r="C89" s="4" t="s">
        <v>616</v>
      </c>
      <c r="D89" s="4" t="s">
        <v>617</v>
      </c>
      <c r="E89" s="213" t="s">
        <v>180</v>
      </c>
      <c r="F89" s="248" t="s">
        <v>411</v>
      </c>
      <c r="G89" s="37"/>
      <c r="H89" s="272">
        <f>_xlfn.IFNA(VLOOKUP(A89,ISB!$A$4:$BY$454,67,FALSE),0)</f>
        <v>0</v>
      </c>
      <c r="I89" s="272">
        <f>_xlfn.IFNA(VLOOKUP(A89,ISB!$A$4:$BY$454,72,FALSE),0)</f>
        <v>0</v>
      </c>
      <c r="J89" s="273">
        <f>-_xlfn.IFNA(VLOOKUP(A89,ISB!$A$4:$BY$454,76,FALSE),0)</f>
        <v>0</v>
      </c>
      <c r="K89" s="273">
        <f>_xlfn.IFNA(VLOOKUP(A89,ISB!$A$4:$BY$454,77,FALSE),0)</f>
        <v>0</v>
      </c>
      <c r="L89" s="273">
        <f>_xlfn.IFNA(VLOOKUP(A89,'Post 16'!A:AC,13,FALSE),0)+(_xlfn.IFNA(VLOOKUP(A89,'Post 16'!A:AC,25,FALSE),0))</f>
        <v>0</v>
      </c>
      <c r="M89" s="273">
        <f>VLOOKUP(A89,HN!A:P,16,FALSE)</f>
        <v>0</v>
      </c>
      <c r="N89" s="273">
        <f>VLOOKUP(A89,HN!A:T,20,FALSE)</f>
        <v>0</v>
      </c>
      <c r="O89" s="273">
        <f>VLOOKUP(A89,EY!A:O,15,FALSE)</f>
        <v>1035824.1033333333</v>
      </c>
      <c r="P89" s="273">
        <f>-VLOOKUP(A89,Adjustments!A:M,11,FALSE)</f>
        <v>-3291.75</v>
      </c>
      <c r="Q89" s="273"/>
      <c r="R89" s="273">
        <v>-6119.6</v>
      </c>
      <c r="S89" s="273">
        <f t="shared" si="15"/>
        <v>1026412.7533333333</v>
      </c>
      <c r="T89" s="37"/>
      <c r="U89" s="37">
        <v>68799.480984774375</v>
      </c>
      <c r="V89" s="37">
        <v>68799.480984774375</v>
      </c>
      <c r="W89" s="37">
        <v>68799.480984774375</v>
      </c>
      <c r="X89" s="37">
        <v>91112.7</v>
      </c>
      <c r="Y89" s="37">
        <v>91112.7</v>
      </c>
      <c r="Z89" s="37">
        <f t="shared" si="16"/>
        <v>91112.701297376276</v>
      </c>
      <c r="AA89" s="37">
        <f t="shared" si="11"/>
        <v>91112.7</v>
      </c>
      <c r="AB89" s="37">
        <f t="shared" si="11"/>
        <v>91112.7</v>
      </c>
      <c r="AC89" s="37">
        <f t="shared" si="11"/>
        <v>91112.7</v>
      </c>
      <c r="AD89" s="37">
        <f t="shared" si="11"/>
        <v>91112.7</v>
      </c>
      <c r="AE89" s="37">
        <f t="shared" si="11"/>
        <v>91112.7</v>
      </c>
      <c r="AF89" s="37">
        <f t="shared" si="12"/>
        <v>91112.709081634064</v>
      </c>
      <c r="AG89" s="37">
        <f t="shared" si="13"/>
        <v>1026412.7533333333</v>
      </c>
      <c r="AH89" s="37" t="b">
        <f t="shared" si="14"/>
        <v>1</v>
      </c>
      <c r="AI89" s="37"/>
      <c r="AJ89" s="37"/>
      <c r="AK89" s="37"/>
      <c r="AL89" s="37"/>
      <c r="AM89" s="37"/>
      <c r="AN89" s="37"/>
      <c r="AO89" s="37"/>
      <c r="AP89" s="207"/>
      <c r="AR89" s="37"/>
      <c r="AS89" s="37"/>
      <c r="AT89" s="37"/>
      <c r="AU89" s="37"/>
      <c r="AV89" s="37"/>
      <c r="AW89" s="37"/>
      <c r="AX89" s="37"/>
      <c r="AY89" s="37"/>
      <c r="AZ89" s="37"/>
      <c r="BA89" s="64"/>
    </row>
    <row r="90" spans="1:53">
      <c r="A90" s="231">
        <v>2289</v>
      </c>
      <c r="B90" s="4">
        <v>103315</v>
      </c>
      <c r="C90" s="4" t="s">
        <v>619</v>
      </c>
      <c r="D90" s="4" t="s">
        <v>620</v>
      </c>
      <c r="E90" s="213" t="s">
        <v>5</v>
      </c>
      <c r="F90" s="248" t="s">
        <v>411</v>
      </c>
      <c r="G90" s="37"/>
      <c r="H90" s="272">
        <f>_xlfn.IFNA(VLOOKUP(A90,ISB!$A$4:$BY$454,67,FALSE),0)</f>
        <v>2094209.0906370655</v>
      </c>
      <c r="I90" s="272">
        <f>_xlfn.IFNA(VLOOKUP(A90,ISB!$A$4:$BY$454,72,FALSE),0)</f>
        <v>-10303.77</v>
      </c>
      <c r="J90" s="273">
        <f>-_xlfn.IFNA(VLOOKUP(A90,ISB!$A$4:$BY$454,76,FALSE),0)</f>
        <v>-18982.838199999998</v>
      </c>
      <c r="K90" s="273">
        <f>_xlfn.IFNA(VLOOKUP(A90,ISB!$A$4:$BY$454,77,FALSE),0)</f>
        <v>2064922.4824370653</v>
      </c>
      <c r="L90" s="273">
        <f>_xlfn.IFNA(VLOOKUP(A90,'Post 16'!A:AC,13,FALSE),0)+(_xlfn.IFNA(VLOOKUP(A90,'Post 16'!A:AC,25,FALSE),0))</f>
        <v>0</v>
      </c>
      <c r="M90" s="273">
        <f>VLOOKUP(A90,HN!A:P,16,FALSE)</f>
        <v>0</v>
      </c>
      <c r="N90" s="273">
        <f>VLOOKUP(A90,HN!A:T,20,FALSE)</f>
        <v>0</v>
      </c>
      <c r="O90" s="273">
        <f>VLOOKUP(A90,EY!A:O,15,FALSE)</f>
        <v>0</v>
      </c>
      <c r="P90" s="273">
        <f>-VLOOKUP(A90,Adjustments!A:M,11,FALSE)</f>
        <v>-9471</v>
      </c>
      <c r="Q90" s="273"/>
      <c r="R90" s="273">
        <v>-5574.09</v>
      </c>
      <c r="S90" s="273">
        <f t="shared" si="15"/>
        <v>2049877.3924370653</v>
      </c>
      <c r="T90" s="37"/>
      <c r="U90" s="37">
        <v>170823.11603642211</v>
      </c>
      <c r="V90" s="37">
        <v>170823.11603642211</v>
      </c>
      <c r="W90" s="37">
        <v>170823.11603642211</v>
      </c>
      <c r="X90" s="37">
        <v>170823.12</v>
      </c>
      <c r="Y90" s="37">
        <v>170823.12</v>
      </c>
      <c r="Z90" s="37">
        <f t="shared" ref="Z90:Z106" si="17">($S90-SUM($U90:$X90))/8</f>
        <v>170823.11554097486</v>
      </c>
      <c r="AA90" s="37">
        <f t="shared" ref="AA90:AE140" si="18">ROUND((($S90-SUM($U90:$Y90))/7),2)</f>
        <v>170823.11</v>
      </c>
      <c r="AB90" s="37">
        <f t="shared" si="18"/>
        <v>170823.11</v>
      </c>
      <c r="AC90" s="37">
        <f t="shared" si="18"/>
        <v>170823.11</v>
      </c>
      <c r="AD90" s="37">
        <f t="shared" si="18"/>
        <v>170823.11</v>
      </c>
      <c r="AE90" s="37">
        <f t="shared" si="18"/>
        <v>170823.11</v>
      </c>
      <c r="AF90" s="37">
        <f t="shared" si="12"/>
        <v>170823.13878682465</v>
      </c>
      <c r="AG90" s="37">
        <f t="shared" si="13"/>
        <v>2049877.3924370653</v>
      </c>
      <c r="AH90" s="37" t="b">
        <f t="shared" si="14"/>
        <v>1</v>
      </c>
      <c r="AI90" s="37"/>
      <c r="AJ90" s="37"/>
      <c r="AK90" s="37"/>
      <c r="AL90" s="37"/>
      <c r="AM90" s="37"/>
      <c r="AN90" s="37"/>
      <c r="AO90" s="37"/>
      <c r="AP90" s="207"/>
      <c r="AR90" s="37"/>
      <c r="AS90" s="37"/>
      <c r="AT90" s="37"/>
      <c r="AU90" s="37"/>
      <c r="AV90" s="37"/>
      <c r="AW90" s="37"/>
      <c r="AX90" s="37"/>
      <c r="AY90" s="37"/>
      <c r="AZ90" s="37"/>
      <c r="BA90" s="64"/>
    </row>
    <row r="91" spans="1:53">
      <c r="A91" s="231">
        <v>3320</v>
      </c>
      <c r="B91" s="4">
        <v>103424</v>
      </c>
      <c r="C91" s="4" t="s">
        <v>622</v>
      </c>
      <c r="D91" s="4" t="s">
        <v>623</v>
      </c>
      <c r="E91" s="213" t="s">
        <v>5</v>
      </c>
      <c r="F91" s="248" t="s">
        <v>411</v>
      </c>
      <c r="G91" s="37"/>
      <c r="H91" s="272">
        <f>_xlfn.IFNA(VLOOKUP(A91,ISB!$A$4:$BY$454,67,FALSE),0)</f>
        <v>2331509.5157625703</v>
      </c>
      <c r="I91" s="272">
        <f>_xlfn.IFNA(VLOOKUP(A91,ISB!$A$4:$BY$454,72,FALSE),0)</f>
        <v>-10479.26</v>
      </c>
      <c r="J91" s="273">
        <f>-_xlfn.IFNA(VLOOKUP(A91,ISB!$A$4:$BY$454,76,FALSE),0)</f>
        <v>-3868.9787000000001</v>
      </c>
      <c r="K91" s="273">
        <f>_xlfn.IFNA(VLOOKUP(A91,ISB!$A$4:$BY$454,77,FALSE),0)</f>
        <v>2317161.2770625707</v>
      </c>
      <c r="L91" s="273">
        <f>_xlfn.IFNA(VLOOKUP(A91,'Post 16'!A:AC,13,FALSE),0)+(_xlfn.IFNA(VLOOKUP(A91,'Post 16'!A:AC,25,FALSE),0))</f>
        <v>0</v>
      </c>
      <c r="M91" s="273">
        <f>VLOOKUP(A91,HN!A:P,16,FALSE)</f>
        <v>0</v>
      </c>
      <c r="N91" s="273">
        <f>VLOOKUP(A91,HN!A:T,20,FALSE)</f>
        <v>0</v>
      </c>
      <c r="O91" s="273">
        <f>VLOOKUP(A91,EY!A:O,15,FALSE)</f>
        <v>0</v>
      </c>
      <c r="P91" s="273">
        <f>-VLOOKUP(A91,Adjustments!A:M,11,FALSE)</f>
        <v>0</v>
      </c>
      <c r="Q91" s="273"/>
      <c r="R91" s="273"/>
      <c r="S91" s="273">
        <f t="shared" si="15"/>
        <v>2317161.2770625707</v>
      </c>
      <c r="T91" s="37"/>
      <c r="U91" s="37">
        <v>193096.77308854755</v>
      </c>
      <c r="V91" s="37">
        <v>193096.77308854755</v>
      </c>
      <c r="W91" s="37">
        <v>193096.77308854755</v>
      </c>
      <c r="X91" s="37">
        <v>193096.77</v>
      </c>
      <c r="Y91" s="37">
        <v>193096.77</v>
      </c>
      <c r="Z91" s="37">
        <f t="shared" si="17"/>
        <v>193096.773474616</v>
      </c>
      <c r="AA91" s="37">
        <f t="shared" si="18"/>
        <v>193096.77</v>
      </c>
      <c r="AB91" s="37">
        <f t="shared" si="18"/>
        <v>193096.77</v>
      </c>
      <c r="AC91" s="37">
        <f t="shared" si="18"/>
        <v>193096.77</v>
      </c>
      <c r="AD91" s="37">
        <f t="shared" si="18"/>
        <v>193096.77</v>
      </c>
      <c r="AE91" s="37">
        <f t="shared" si="18"/>
        <v>193096.77</v>
      </c>
      <c r="AF91" s="37">
        <f t="shared" si="12"/>
        <v>193096.79432231188</v>
      </c>
      <c r="AG91" s="37">
        <f t="shared" si="13"/>
        <v>2317161.2770625707</v>
      </c>
      <c r="AH91" s="37" t="b">
        <f t="shared" si="14"/>
        <v>1</v>
      </c>
      <c r="AI91" s="37"/>
      <c r="AJ91" s="37"/>
      <c r="AK91" s="37"/>
      <c r="AL91" s="37"/>
      <c r="AM91" s="37"/>
      <c r="AN91" s="37"/>
      <c r="AO91" s="37"/>
      <c r="AP91" s="207"/>
      <c r="AR91" s="37"/>
      <c r="AS91" s="37"/>
      <c r="AT91" s="37"/>
      <c r="AU91" s="37"/>
      <c r="AV91" s="37"/>
      <c r="AW91" s="37"/>
      <c r="AX91" s="37"/>
      <c r="AY91" s="37"/>
      <c r="AZ91" s="37"/>
      <c r="BA91" s="64"/>
    </row>
    <row r="92" spans="1:53">
      <c r="A92" s="231">
        <v>2191</v>
      </c>
      <c r="B92" s="4">
        <v>103267</v>
      </c>
      <c r="C92" s="4" t="s">
        <v>625</v>
      </c>
      <c r="D92" s="4" t="s">
        <v>626</v>
      </c>
      <c r="E92" s="213" t="s">
        <v>5</v>
      </c>
      <c r="F92" s="248" t="s">
        <v>411</v>
      </c>
      <c r="G92" s="37"/>
      <c r="H92" s="272">
        <f>_xlfn.IFNA(VLOOKUP(A92,ISB!$A$4:$BY$454,67,FALSE),0)</f>
        <v>1514739.8305610211</v>
      </c>
      <c r="I92" s="272">
        <f>_xlfn.IFNA(VLOOKUP(A92,ISB!$A$4:$BY$454,72,FALSE),0)</f>
        <v>-5239.63</v>
      </c>
      <c r="J92" s="273">
        <f>-_xlfn.IFNA(VLOOKUP(A92,ISB!$A$4:$BY$454,76,FALSE),0)</f>
        <v>-15367.064399999999</v>
      </c>
      <c r="K92" s="273">
        <f>_xlfn.IFNA(VLOOKUP(A92,ISB!$A$4:$BY$454,77,FALSE),0)</f>
        <v>1494133.1361610212</v>
      </c>
      <c r="L92" s="273">
        <f>_xlfn.IFNA(VLOOKUP(A92,'Post 16'!A:AC,13,FALSE),0)+(_xlfn.IFNA(VLOOKUP(A92,'Post 16'!A:AC,25,FALSE),0))</f>
        <v>0</v>
      </c>
      <c r="M92" s="273">
        <f>VLOOKUP(A92,HN!A:P,16,FALSE)</f>
        <v>0</v>
      </c>
      <c r="N92" s="273">
        <f>VLOOKUP(A92,HN!A:T,20,FALSE)</f>
        <v>0</v>
      </c>
      <c r="O92" s="273">
        <f>VLOOKUP(A92,EY!A:O,15,FALSE)</f>
        <v>77284.5</v>
      </c>
      <c r="P92" s="273">
        <f>-VLOOKUP(A92,Adjustments!A:M,11,FALSE)</f>
        <v>-5139.75</v>
      </c>
      <c r="Q92" s="273"/>
      <c r="R92" s="273"/>
      <c r="S92" s="273">
        <f t="shared" si="15"/>
        <v>1566277.8861610212</v>
      </c>
      <c r="T92" s="37"/>
      <c r="U92" s="37">
        <v>130105.7996800851</v>
      </c>
      <c r="V92" s="37">
        <v>130105.7996800851</v>
      </c>
      <c r="W92" s="37">
        <v>130105.7996800851</v>
      </c>
      <c r="X92" s="37">
        <v>130662.28</v>
      </c>
      <c r="Y92" s="37">
        <v>130662.28</v>
      </c>
      <c r="Z92" s="37">
        <f t="shared" si="17"/>
        <v>130662.27589009574</v>
      </c>
      <c r="AA92" s="37">
        <f t="shared" si="18"/>
        <v>130662.28</v>
      </c>
      <c r="AB92" s="37">
        <f t="shared" si="18"/>
        <v>130662.28</v>
      </c>
      <c r="AC92" s="37">
        <f t="shared" si="18"/>
        <v>130662.28</v>
      </c>
      <c r="AD92" s="37">
        <f t="shared" si="18"/>
        <v>130662.28</v>
      </c>
      <c r="AE92" s="37">
        <f t="shared" si="18"/>
        <v>130662.28</v>
      </c>
      <c r="AF92" s="37">
        <f t="shared" si="12"/>
        <v>130662.25123067014</v>
      </c>
      <c r="AG92" s="37">
        <f t="shared" si="13"/>
        <v>1566277.8861610212</v>
      </c>
      <c r="AH92" s="37" t="b">
        <f t="shared" si="14"/>
        <v>1</v>
      </c>
      <c r="AI92" s="37"/>
      <c r="AJ92" s="37"/>
      <c r="AK92" s="37"/>
      <c r="AL92" s="37"/>
      <c r="AM92" s="37"/>
      <c r="AN92" s="37"/>
      <c r="AO92" s="37"/>
      <c r="AP92" s="207"/>
      <c r="AR92" s="37"/>
      <c r="AS92" s="37"/>
      <c r="AT92" s="37"/>
      <c r="AU92" s="37"/>
      <c r="AV92" s="37"/>
      <c r="AW92" s="37"/>
      <c r="AX92" s="37"/>
      <c r="AY92" s="37"/>
      <c r="AZ92" s="37"/>
      <c r="BA92" s="64"/>
    </row>
    <row r="93" spans="1:53">
      <c r="A93" s="231">
        <v>2284</v>
      </c>
      <c r="B93" s="4">
        <v>103313</v>
      </c>
      <c r="C93" s="4" t="s">
        <v>628</v>
      </c>
      <c r="D93" s="4" t="s">
        <v>629</v>
      </c>
      <c r="E93" s="213" t="s">
        <v>5</v>
      </c>
      <c r="F93" s="248" t="s">
        <v>411</v>
      </c>
      <c r="G93" s="37"/>
      <c r="H93" s="272">
        <f>_xlfn.IFNA(VLOOKUP(A93,ISB!$A$4:$BY$454,67,FALSE),0)</f>
        <v>1247001.49743794</v>
      </c>
      <c r="I93" s="272">
        <f>_xlfn.IFNA(VLOOKUP(A93,ISB!$A$4:$BY$454,72,FALSE),0)</f>
        <v>-5089.21</v>
      </c>
      <c r="J93" s="273">
        <f>-_xlfn.IFNA(VLOOKUP(A93,ISB!$A$4:$BY$454,76,FALSE),0)</f>
        <v>-12655.2289</v>
      </c>
      <c r="K93" s="273">
        <f>_xlfn.IFNA(VLOOKUP(A93,ISB!$A$4:$BY$454,77,FALSE),0)</f>
        <v>1229257.05853794</v>
      </c>
      <c r="L93" s="273">
        <f>_xlfn.IFNA(VLOOKUP(A93,'Post 16'!A:AC,13,FALSE),0)+(_xlfn.IFNA(VLOOKUP(A93,'Post 16'!A:AC,25,FALSE),0))</f>
        <v>0</v>
      </c>
      <c r="M93" s="273">
        <f>VLOOKUP(A93,HN!A:P,16,FALSE)</f>
        <v>0</v>
      </c>
      <c r="N93" s="273">
        <f>VLOOKUP(A93,HN!A:T,20,FALSE)</f>
        <v>0</v>
      </c>
      <c r="O93" s="273">
        <f>VLOOKUP(A93,EY!A:O,15,FALSE)</f>
        <v>0</v>
      </c>
      <c r="P93" s="273">
        <f>-VLOOKUP(A93,Adjustments!A:M,11,FALSE)</f>
        <v>-5139.75</v>
      </c>
      <c r="Q93" s="273"/>
      <c r="R93" s="273"/>
      <c r="S93" s="273">
        <f t="shared" si="15"/>
        <v>1224117.30853794</v>
      </c>
      <c r="T93" s="37"/>
      <c r="U93" s="37">
        <v>102009.77571149501</v>
      </c>
      <c r="V93" s="37">
        <v>102009.77571149501</v>
      </c>
      <c r="W93" s="37">
        <v>102009.77571149501</v>
      </c>
      <c r="X93" s="37">
        <v>102009.78</v>
      </c>
      <c r="Y93" s="37">
        <v>102009.78</v>
      </c>
      <c r="Z93" s="37">
        <f t="shared" si="17"/>
        <v>102009.77517543187</v>
      </c>
      <c r="AA93" s="37">
        <f t="shared" si="18"/>
        <v>102009.77</v>
      </c>
      <c r="AB93" s="37">
        <f t="shared" si="18"/>
        <v>102009.77</v>
      </c>
      <c r="AC93" s="37">
        <f t="shared" si="18"/>
        <v>102009.77</v>
      </c>
      <c r="AD93" s="37">
        <f t="shared" si="18"/>
        <v>102009.77</v>
      </c>
      <c r="AE93" s="37">
        <f t="shared" si="18"/>
        <v>102009.77</v>
      </c>
      <c r="AF93" s="37">
        <f t="shared" si="12"/>
        <v>102009.79622802301</v>
      </c>
      <c r="AG93" s="37">
        <f t="shared" si="13"/>
        <v>1224117.30853794</v>
      </c>
      <c r="AH93" s="37" t="b">
        <f t="shared" si="14"/>
        <v>1</v>
      </c>
      <c r="AI93" s="37"/>
      <c r="AJ93" s="37"/>
      <c r="AK93" s="37"/>
      <c r="AL93" s="37"/>
      <c r="AM93" s="37"/>
      <c r="AN93" s="37"/>
      <c r="AO93" s="37"/>
      <c r="AP93" s="207"/>
      <c r="AR93" s="37"/>
      <c r="AS93" s="37"/>
      <c r="AT93" s="37"/>
      <c r="AU93" s="37"/>
      <c r="AV93" s="37"/>
      <c r="AW93" s="37"/>
      <c r="AX93" s="37"/>
      <c r="AY93" s="37"/>
      <c r="AZ93" s="37"/>
      <c r="BA93" s="64"/>
    </row>
    <row r="94" spans="1:53">
      <c r="A94" s="231">
        <v>1026</v>
      </c>
      <c r="B94" s="4">
        <v>103139</v>
      </c>
      <c r="C94" s="4" t="s">
        <v>631</v>
      </c>
      <c r="D94" s="4" t="s">
        <v>632</v>
      </c>
      <c r="E94" s="213" t="s">
        <v>180</v>
      </c>
      <c r="F94" s="248" t="s">
        <v>411</v>
      </c>
      <c r="G94" s="37"/>
      <c r="H94" s="272">
        <f>_xlfn.IFNA(VLOOKUP(A94,ISB!$A$4:$BY$454,67,FALSE),0)</f>
        <v>0</v>
      </c>
      <c r="I94" s="272">
        <f>_xlfn.IFNA(VLOOKUP(A94,ISB!$A$4:$BY$454,72,FALSE),0)</f>
        <v>0</v>
      </c>
      <c r="J94" s="273">
        <f>-_xlfn.IFNA(VLOOKUP(A94,ISB!$A$4:$BY$454,76,FALSE),0)</f>
        <v>0</v>
      </c>
      <c r="K94" s="273">
        <f>_xlfn.IFNA(VLOOKUP(A94,ISB!$A$4:$BY$454,77,FALSE),0)</f>
        <v>0</v>
      </c>
      <c r="L94" s="273">
        <f>_xlfn.IFNA(VLOOKUP(A94,'Post 16'!A:AC,13,FALSE),0)+(_xlfn.IFNA(VLOOKUP(A94,'Post 16'!A:AC,25,FALSE),0))</f>
        <v>0</v>
      </c>
      <c r="M94" s="273">
        <f>VLOOKUP(A94,HN!A:P,16,FALSE)</f>
        <v>0</v>
      </c>
      <c r="N94" s="273">
        <f>VLOOKUP(A94,HN!A:T,20,FALSE)</f>
        <v>0</v>
      </c>
      <c r="O94" s="273">
        <f>VLOOKUP(A94,EY!A:O,15,FALSE)</f>
        <v>691428.23</v>
      </c>
      <c r="P94" s="273">
        <f>-VLOOKUP(A94,Adjustments!A:M,11,FALSE)</f>
        <v>-3291.75</v>
      </c>
      <c r="Q94" s="273"/>
      <c r="R94" s="273"/>
      <c r="S94" s="273">
        <f t="shared" si="15"/>
        <v>688136.48</v>
      </c>
      <c r="T94" s="37"/>
      <c r="U94" s="37">
        <v>40864.214416313182</v>
      </c>
      <c r="V94" s="37">
        <v>40864.214416313182</v>
      </c>
      <c r="W94" s="37">
        <v>40864.214416313182</v>
      </c>
      <c r="X94" s="37">
        <v>62838.2</v>
      </c>
      <c r="Y94" s="37">
        <v>62838.2</v>
      </c>
      <c r="Z94" s="37">
        <f t="shared" si="17"/>
        <v>62838.204593882554</v>
      </c>
      <c r="AA94" s="37">
        <f t="shared" si="18"/>
        <v>62838.21</v>
      </c>
      <c r="AB94" s="37">
        <f t="shared" si="18"/>
        <v>62838.21</v>
      </c>
      <c r="AC94" s="37">
        <f t="shared" si="18"/>
        <v>62838.21</v>
      </c>
      <c r="AD94" s="37">
        <f t="shared" si="18"/>
        <v>62838.21</v>
      </c>
      <c r="AE94" s="37">
        <f t="shared" si="18"/>
        <v>62838.21</v>
      </c>
      <c r="AF94" s="37">
        <f t="shared" si="12"/>
        <v>62838.182157177827</v>
      </c>
      <c r="AG94" s="37">
        <f t="shared" si="13"/>
        <v>688136.48</v>
      </c>
      <c r="AH94" s="37" t="b">
        <f t="shared" si="14"/>
        <v>1</v>
      </c>
      <c r="AI94" s="37"/>
      <c r="AJ94" s="37"/>
      <c r="AK94" s="37"/>
      <c r="AL94" s="37"/>
      <c r="AM94" s="37"/>
      <c r="AN94" s="37"/>
      <c r="AO94" s="37"/>
      <c r="AP94" s="207"/>
      <c r="AR94" s="37"/>
      <c r="AS94" s="37"/>
      <c r="AT94" s="37"/>
      <c r="AU94" s="37"/>
      <c r="AV94" s="37"/>
      <c r="AW94" s="37"/>
      <c r="AX94" s="37"/>
      <c r="AY94" s="37"/>
      <c r="AZ94" s="37"/>
      <c r="BA94" s="64"/>
    </row>
    <row r="95" spans="1:53">
      <c r="A95" s="231">
        <v>2294</v>
      </c>
      <c r="B95" s="4">
        <v>103318</v>
      </c>
      <c r="C95" s="4" t="s">
        <v>634</v>
      </c>
      <c r="D95" s="4" t="s">
        <v>635</v>
      </c>
      <c r="E95" s="213" t="s">
        <v>5</v>
      </c>
      <c r="F95" s="248" t="s">
        <v>411</v>
      </c>
      <c r="G95" s="37"/>
      <c r="H95" s="272">
        <f>_xlfn.IFNA(VLOOKUP(A95,ISB!$A$4:$BY$454,67,FALSE),0)</f>
        <v>2327560.871888041</v>
      </c>
      <c r="I95" s="272">
        <f>_xlfn.IFNA(VLOOKUP(A95,ISB!$A$4:$BY$454,72,FALSE),0)</f>
        <v>-10529.4</v>
      </c>
      <c r="J95" s="273">
        <f>-_xlfn.IFNA(VLOOKUP(A95,ISB!$A$4:$BY$454,76,FALSE),0)</f>
        <v>-28089.830399999999</v>
      </c>
      <c r="K95" s="273">
        <f>_xlfn.IFNA(VLOOKUP(A95,ISB!$A$4:$BY$454,77,FALSE),0)</f>
        <v>2288941.6414880413</v>
      </c>
      <c r="L95" s="273">
        <f>_xlfn.IFNA(VLOOKUP(A95,'Post 16'!A:AC,13,FALSE),0)+(_xlfn.IFNA(VLOOKUP(A95,'Post 16'!A:AC,25,FALSE),0))</f>
        <v>0</v>
      </c>
      <c r="M95" s="273">
        <f>VLOOKUP(A95,HN!A:P,16,FALSE)</f>
        <v>0</v>
      </c>
      <c r="N95" s="273">
        <f>VLOOKUP(A95,HN!A:T,20,FALSE)</f>
        <v>0</v>
      </c>
      <c r="O95" s="273">
        <f>VLOOKUP(A95,EY!A:O,15,FALSE)</f>
        <v>0</v>
      </c>
      <c r="P95" s="273">
        <f>-VLOOKUP(A95,Adjustments!A:M,11,FALSE)</f>
        <v>-9471</v>
      </c>
      <c r="Q95" s="273"/>
      <c r="R95" s="273"/>
      <c r="S95" s="273">
        <f t="shared" si="15"/>
        <v>2279470.6414880413</v>
      </c>
      <c r="T95" s="37"/>
      <c r="U95" s="37">
        <v>189955.88679067011</v>
      </c>
      <c r="V95" s="37">
        <v>189955.88679067011</v>
      </c>
      <c r="W95" s="37">
        <v>189955.88679067011</v>
      </c>
      <c r="X95" s="37">
        <v>189955.89</v>
      </c>
      <c r="Y95" s="37">
        <v>189955.89</v>
      </c>
      <c r="Z95" s="37">
        <f t="shared" si="17"/>
        <v>189955.88638950387</v>
      </c>
      <c r="AA95" s="37">
        <f t="shared" si="18"/>
        <v>189955.89</v>
      </c>
      <c r="AB95" s="37">
        <f t="shared" si="18"/>
        <v>189955.89</v>
      </c>
      <c r="AC95" s="37">
        <f t="shared" si="18"/>
        <v>189955.89</v>
      </c>
      <c r="AD95" s="37">
        <f t="shared" si="18"/>
        <v>189955.89</v>
      </c>
      <c r="AE95" s="37">
        <f t="shared" si="18"/>
        <v>189955.89</v>
      </c>
      <c r="AF95" s="37">
        <f t="shared" si="12"/>
        <v>189955.86472652666</v>
      </c>
      <c r="AG95" s="37">
        <f t="shared" si="13"/>
        <v>2279470.6414880413</v>
      </c>
      <c r="AH95" s="37" t="b">
        <f t="shared" si="14"/>
        <v>1</v>
      </c>
      <c r="AI95" s="37"/>
      <c r="AJ95" s="37"/>
      <c r="AK95" s="37"/>
      <c r="AL95" s="37"/>
      <c r="AM95" s="37"/>
      <c r="AN95" s="37"/>
      <c r="AO95" s="37"/>
      <c r="AP95" s="207"/>
      <c r="AR95" s="37"/>
      <c r="AS95" s="37"/>
      <c r="AT95" s="37"/>
      <c r="AU95" s="37"/>
      <c r="AV95" s="37"/>
      <c r="AW95" s="37"/>
      <c r="AX95" s="37"/>
      <c r="AY95" s="37"/>
      <c r="AZ95" s="37"/>
      <c r="BA95" s="64"/>
    </row>
    <row r="96" spans="1:53">
      <c r="A96" s="231">
        <v>1006</v>
      </c>
      <c r="B96" s="4">
        <v>103122</v>
      </c>
      <c r="C96" s="4" t="s">
        <v>637</v>
      </c>
      <c r="D96" s="4" t="s">
        <v>638</v>
      </c>
      <c r="E96" s="213" t="s">
        <v>180</v>
      </c>
      <c r="F96" s="248" t="s">
        <v>411</v>
      </c>
      <c r="G96" s="37"/>
      <c r="H96" s="272">
        <f>_xlfn.IFNA(VLOOKUP(A96,ISB!$A$4:$BY$454,67,FALSE),0)</f>
        <v>0</v>
      </c>
      <c r="I96" s="272">
        <f>_xlfn.IFNA(VLOOKUP(A96,ISB!$A$4:$BY$454,72,FALSE),0)</f>
        <v>0</v>
      </c>
      <c r="J96" s="273">
        <f>-_xlfn.IFNA(VLOOKUP(A96,ISB!$A$4:$BY$454,76,FALSE),0)</f>
        <v>0</v>
      </c>
      <c r="K96" s="273">
        <f>_xlfn.IFNA(VLOOKUP(A96,ISB!$A$4:$BY$454,77,FALSE),0)</f>
        <v>0</v>
      </c>
      <c r="L96" s="273">
        <f>_xlfn.IFNA(VLOOKUP(A96,'Post 16'!A:AC,13,FALSE),0)+(_xlfn.IFNA(VLOOKUP(A96,'Post 16'!A:AC,25,FALSE),0))</f>
        <v>0</v>
      </c>
      <c r="M96" s="273">
        <f>VLOOKUP(A96,HN!A:P,16,FALSE)</f>
        <v>0</v>
      </c>
      <c r="N96" s="273">
        <f>VLOOKUP(A96,HN!A:T,20,FALSE)</f>
        <v>78600</v>
      </c>
      <c r="O96" s="273">
        <f>VLOOKUP(A96,EY!A:O,15,FALSE)</f>
        <v>537788.47</v>
      </c>
      <c r="P96" s="273">
        <f>-VLOOKUP(A96,Adjustments!A:M,11,FALSE)</f>
        <v>-3291.75</v>
      </c>
      <c r="Q96" s="273"/>
      <c r="R96" s="273"/>
      <c r="S96" s="273">
        <f t="shared" si="15"/>
        <v>613096.72</v>
      </c>
      <c r="T96" s="37"/>
      <c r="U96" s="37">
        <v>38044.635702419961</v>
      </c>
      <c r="V96" s="37">
        <v>38044.635702419961</v>
      </c>
      <c r="W96" s="37">
        <v>38044.635702419961</v>
      </c>
      <c r="X96" s="37">
        <v>72906.98000000001</v>
      </c>
      <c r="Y96" s="37">
        <v>53256.98</v>
      </c>
      <c r="Z96" s="37">
        <f t="shared" si="17"/>
        <v>53256.979111592511</v>
      </c>
      <c r="AA96" s="37">
        <f t="shared" si="18"/>
        <v>53256.98</v>
      </c>
      <c r="AB96" s="37">
        <f t="shared" si="18"/>
        <v>53256.98</v>
      </c>
      <c r="AC96" s="37">
        <f t="shared" si="18"/>
        <v>53256.98</v>
      </c>
      <c r="AD96" s="37">
        <f t="shared" si="18"/>
        <v>53256.98</v>
      </c>
      <c r="AE96" s="37">
        <f t="shared" si="18"/>
        <v>53256.98</v>
      </c>
      <c r="AF96" s="37">
        <f t="shared" si="12"/>
        <v>53256.973781147623</v>
      </c>
      <c r="AG96" s="37">
        <f t="shared" si="13"/>
        <v>613096.72</v>
      </c>
      <c r="AH96" s="37" t="b">
        <f t="shared" si="14"/>
        <v>1</v>
      </c>
      <c r="AI96" s="37"/>
      <c r="AJ96" s="37"/>
      <c r="AK96" s="37"/>
      <c r="AL96" s="37"/>
      <c r="AM96" s="37"/>
      <c r="AN96" s="37"/>
      <c r="AO96" s="37"/>
      <c r="AP96" s="207"/>
      <c r="AR96" s="37"/>
      <c r="AS96" s="37"/>
      <c r="AT96" s="37"/>
      <c r="AU96" s="37"/>
      <c r="AV96" s="37"/>
      <c r="AW96" s="37"/>
      <c r="AX96" s="37"/>
      <c r="AY96" s="37"/>
      <c r="AZ96" s="37"/>
      <c r="BA96" s="64"/>
    </row>
    <row r="97" spans="1:53">
      <c r="A97" s="231">
        <v>2079</v>
      </c>
      <c r="B97" s="4">
        <v>103200</v>
      </c>
      <c r="C97" s="4" t="s">
        <v>640</v>
      </c>
      <c r="D97" s="4" t="s">
        <v>641</v>
      </c>
      <c r="E97" s="213" t="s">
        <v>5</v>
      </c>
      <c r="F97" s="248" t="s">
        <v>411</v>
      </c>
      <c r="G97" s="37"/>
      <c r="H97" s="272">
        <f>_xlfn.IFNA(VLOOKUP(A97,ISB!$A$4:$BY$454,67,FALSE),0)</f>
        <v>1911366.5165508401</v>
      </c>
      <c r="I97" s="272">
        <f>_xlfn.IFNA(VLOOKUP(A97,ISB!$A$4:$BY$454,72,FALSE),0)</f>
        <v>-8624.08</v>
      </c>
      <c r="J97" s="273">
        <f>-_xlfn.IFNA(VLOOKUP(A97,ISB!$A$4:$BY$454,76,FALSE),0)</f>
        <v>-23115.156999999999</v>
      </c>
      <c r="K97" s="273">
        <f>_xlfn.IFNA(VLOOKUP(A97,ISB!$A$4:$BY$454,77,FALSE),0)</f>
        <v>1879627.2795508401</v>
      </c>
      <c r="L97" s="273">
        <f>_xlfn.IFNA(VLOOKUP(A97,'Post 16'!A:AC,13,FALSE),0)+(_xlfn.IFNA(VLOOKUP(A97,'Post 16'!A:AC,25,FALSE),0))</f>
        <v>0</v>
      </c>
      <c r="M97" s="273">
        <f>VLOOKUP(A97,HN!A:P,16,FALSE)</f>
        <v>0</v>
      </c>
      <c r="N97" s="273">
        <f>VLOOKUP(A97,HN!A:T,20,FALSE)</f>
        <v>0</v>
      </c>
      <c r="O97" s="273">
        <f>VLOOKUP(A97,EY!A:O,15,FALSE)</f>
        <v>0</v>
      </c>
      <c r="P97" s="273">
        <f>-VLOOKUP(A97,Adjustments!A:M,11,FALSE)</f>
        <v>-8600</v>
      </c>
      <c r="Q97" s="273"/>
      <c r="R97" s="273"/>
      <c r="S97" s="273">
        <f t="shared" si="15"/>
        <v>1871027.2795508401</v>
      </c>
      <c r="T97" s="37"/>
      <c r="U97" s="37">
        <v>156635.60662923669</v>
      </c>
      <c r="V97" s="37">
        <v>156635.60662923669</v>
      </c>
      <c r="W97" s="37">
        <v>156635.60662923669</v>
      </c>
      <c r="X97" s="37">
        <v>156635.60999999999</v>
      </c>
      <c r="Y97" s="37">
        <v>156635.60999999999</v>
      </c>
      <c r="Z97" s="37">
        <f t="shared" si="17"/>
        <v>155560.60620789125</v>
      </c>
      <c r="AA97" s="37">
        <f t="shared" si="18"/>
        <v>155407.03</v>
      </c>
      <c r="AB97" s="37">
        <f t="shared" si="18"/>
        <v>155407.03</v>
      </c>
      <c r="AC97" s="37">
        <f t="shared" si="18"/>
        <v>155407.03</v>
      </c>
      <c r="AD97" s="37">
        <f t="shared" si="18"/>
        <v>155407.03</v>
      </c>
      <c r="AE97" s="37">
        <f t="shared" si="18"/>
        <v>155407.03</v>
      </c>
      <c r="AF97" s="37">
        <f t="shared" si="12"/>
        <v>155253.48345523886</v>
      </c>
      <c r="AG97" s="37">
        <f t="shared" si="13"/>
        <v>1871027.2795508401</v>
      </c>
      <c r="AH97" s="37" t="b">
        <f t="shared" si="14"/>
        <v>1</v>
      </c>
      <c r="AI97" s="37"/>
      <c r="AJ97" s="37"/>
      <c r="AK97" s="37"/>
      <c r="AL97" s="37"/>
      <c r="AM97" s="37"/>
      <c r="AN97" s="37"/>
      <c r="AO97" s="37"/>
      <c r="AP97" s="207"/>
      <c r="AR97" s="37"/>
      <c r="AS97" s="37"/>
      <c r="AT97" s="37"/>
      <c r="AU97" s="37"/>
      <c r="AV97" s="37"/>
      <c r="AW97" s="37"/>
      <c r="AX97" s="37"/>
      <c r="AY97" s="37"/>
      <c r="AZ97" s="37"/>
      <c r="BA97" s="64"/>
    </row>
    <row r="98" spans="1:53">
      <c r="A98" s="231">
        <v>1015</v>
      </c>
      <c r="B98" s="4">
        <v>103128</v>
      </c>
      <c r="C98" s="4" t="s">
        <v>643</v>
      </c>
      <c r="D98" s="4" t="s">
        <v>644</v>
      </c>
      <c r="E98" s="213" t="s">
        <v>180</v>
      </c>
      <c r="F98" s="248" t="s">
        <v>411</v>
      </c>
      <c r="G98" s="37"/>
      <c r="H98" s="272">
        <f>_xlfn.IFNA(VLOOKUP(A98,ISB!$A$4:$BY$454,67,FALSE),0)</f>
        <v>0</v>
      </c>
      <c r="I98" s="272">
        <f>_xlfn.IFNA(VLOOKUP(A98,ISB!$A$4:$BY$454,72,FALSE),0)</f>
        <v>0</v>
      </c>
      <c r="J98" s="273">
        <f>-_xlfn.IFNA(VLOOKUP(A98,ISB!$A$4:$BY$454,76,FALSE),0)</f>
        <v>0</v>
      </c>
      <c r="K98" s="273">
        <f>_xlfn.IFNA(VLOOKUP(A98,ISB!$A$4:$BY$454,77,FALSE),0)</f>
        <v>0</v>
      </c>
      <c r="L98" s="273">
        <f>_xlfn.IFNA(VLOOKUP(A98,'Post 16'!A:AC,13,FALSE),0)+(_xlfn.IFNA(VLOOKUP(A98,'Post 16'!A:AC,25,FALSE),0))</f>
        <v>0</v>
      </c>
      <c r="M98" s="273">
        <f>VLOOKUP(A98,HN!A:P,16,FALSE)</f>
        <v>0</v>
      </c>
      <c r="N98" s="273">
        <f>VLOOKUP(A98,HN!A:T,20,FALSE)</f>
        <v>0</v>
      </c>
      <c r="O98" s="273">
        <f>VLOOKUP(A98,EY!A:O,15,FALSE)</f>
        <v>679433.27666666661</v>
      </c>
      <c r="P98" s="273">
        <f>-VLOOKUP(A98,Adjustments!A:M,11,FALSE)</f>
        <v>-3291.75</v>
      </c>
      <c r="Q98" s="273"/>
      <c r="R98" s="273"/>
      <c r="S98" s="273">
        <f t="shared" si="15"/>
        <v>676141.52666666661</v>
      </c>
      <c r="T98" s="37"/>
      <c r="U98" s="37">
        <v>46357.225118665527</v>
      </c>
      <c r="V98" s="37">
        <v>46357.225118665527</v>
      </c>
      <c r="W98" s="37">
        <v>46357.225118665527</v>
      </c>
      <c r="X98" s="37">
        <v>59674.43</v>
      </c>
      <c r="Y98" s="37">
        <v>59674.43</v>
      </c>
      <c r="Z98" s="37">
        <f t="shared" si="17"/>
        <v>59674.427663833754</v>
      </c>
      <c r="AA98" s="37">
        <f t="shared" si="18"/>
        <v>59674.43</v>
      </c>
      <c r="AB98" s="37">
        <f t="shared" si="18"/>
        <v>59674.43</v>
      </c>
      <c r="AC98" s="37">
        <f t="shared" si="18"/>
        <v>59674.43</v>
      </c>
      <c r="AD98" s="37">
        <f t="shared" si="18"/>
        <v>59674.43</v>
      </c>
      <c r="AE98" s="37">
        <f t="shared" si="18"/>
        <v>59674.43</v>
      </c>
      <c r="AF98" s="37">
        <f t="shared" si="12"/>
        <v>59674.413646836183</v>
      </c>
      <c r="AG98" s="37">
        <f t="shared" si="13"/>
        <v>676141.52666666661</v>
      </c>
      <c r="AH98" s="37" t="b">
        <f t="shared" si="14"/>
        <v>1</v>
      </c>
      <c r="AI98" s="37"/>
      <c r="AJ98" s="37"/>
      <c r="AK98" s="37"/>
      <c r="AL98" s="37"/>
      <c r="AM98" s="37"/>
      <c r="AN98" s="37"/>
      <c r="AO98" s="37"/>
      <c r="AP98" s="207"/>
      <c r="AR98" s="37"/>
      <c r="AS98" s="37"/>
      <c r="AT98" s="37"/>
      <c r="AU98" s="37"/>
      <c r="AV98" s="37"/>
      <c r="AW98" s="37"/>
      <c r="AX98" s="37"/>
      <c r="AY98" s="37"/>
      <c r="AZ98" s="37"/>
      <c r="BA98" s="64"/>
    </row>
    <row r="99" spans="1:53">
      <c r="A99" s="231">
        <v>1022</v>
      </c>
      <c r="B99" s="4">
        <v>103135</v>
      </c>
      <c r="C99" s="4" t="s">
        <v>646</v>
      </c>
      <c r="D99" s="4" t="s">
        <v>647</v>
      </c>
      <c r="E99" s="213" t="s">
        <v>180</v>
      </c>
      <c r="F99" s="248" t="s">
        <v>411</v>
      </c>
      <c r="G99" s="37"/>
      <c r="H99" s="272">
        <f>_xlfn.IFNA(VLOOKUP(A99,ISB!$A$4:$BY$454,67,FALSE),0)</f>
        <v>0</v>
      </c>
      <c r="I99" s="272">
        <f>_xlfn.IFNA(VLOOKUP(A99,ISB!$A$4:$BY$454,72,FALSE),0)</f>
        <v>0</v>
      </c>
      <c r="J99" s="273">
        <f>-_xlfn.IFNA(VLOOKUP(A99,ISB!$A$4:$BY$454,76,FALSE),0)</f>
        <v>0</v>
      </c>
      <c r="K99" s="273">
        <f>_xlfn.IFNA(VLOOKUP(A99,ISB!$A$4:$BY$454,77,FALSE),0)</f>
        <v>0</v>
      </c>
      <c r="L99" s="273">
        <f>_xlfn.IFNA(VLOOKUP(A99,'Post 16'!A:AC,13,FALSE),0)+(_xlfn.IFNA(VLOOKUP(A99,'Post 16'!A:AC,25,FALSE),0))</f>
        <v>0</v>
      </c>
      <c r="M99" s="273">
        <f>VLOOKUP(A99,HN!A:P,16,FALSE)</f>
        <v>0</v>
      </c>
      <c r="N99" s="273">
        <f>VLOOKUP(A99,HN!A:T,20,FALSE)</f>
        <v>0</v>
      </c>
      <c r="O99" s="273">
        <f>VLOOKUP(A99,EY!A:O,15,FALSE)</f>
        <v>543482.85</v>
      </c>
      <c r="P99" s="273">
        <f>-VLOOKUP(A99,Adjustments!A:M,11,FALSE)</f>
        <v>-3291.75</v>
      </c>
      <c r="Q99" s="273"/>
      <c r="R99" s="273"/>
      <c r="S99" s="273">
        <f t="shared" si="15"/>
        <v>540191.1</v>
      </c>
      <c r="T99" s="37"/>
      <c r="U99" s="37">
        <v>37233.599608518904</v>
      </c>
      <c r="V99" s="37">
        <v>37233.599608518904</v>
      </c>
      <c r="W99" s="37">
        <v>37233.599608518904</v>
      </c>
      <c r="X99" s="37">
        <v>47610.03</v>
      </c>
      <c r="Y99" s="37">
        <v>47610.03</v>
      </c>
      <c r="Z99" s="37">
        <f t="shared" si="17"/>
        <v>47610.033896805413</v>
      </c>
      <c r="AA99" s="37">
        <f t="shared" si="18"/>
        <v>47610.03</v>
      </c>
      <c r="AB99" s="37">
        <f t="shared" si="18"/>
        <v>47610.03</v>
      </c>
      <c r="AC99" s="37">
        <f t="shared" si="18"/>
        <v>47610.03</v>
      </c>
      <c r="AD99" s="37">
        <f t="shared" si="18"/>
        <v>47610.03</v>
      </c>
      <c r="AE99" s="37">
        <f t="shared" si="18"/>
        <v>47610.03</v>
      </c>
      <c r="AF99" s="37">
        <f t="shared" si="12"/>
        <v>47610.057277637767</v>
      </c>
      <c r="AG99" s="37">
        <f t="shared" si="13"/>
        <v>540191.1</v>
      </c>
      <c r="AH99" s="37" t="b">
        <f t="shared" si="14"/>
        <v>1</v>
      </c>
      <c r="AI99" s="37"/>
      <c r="AJ99" s="37"/>
      <c r="AK99" s="37"/>
      <c r="AL99" s="37"/>
      <c r="AM99" s="37"/>
      <c r="AN99" s="37"/>
      <c r="AO99" s="37"/>
      <c r="AP99" s="207"/>
      <c r="AR99" s="37"/>
      <c r="AS99" s="37"/>
      <c r="AT99" s="37"/>
      <c r="AU99" s="37"/>
      <c r="AV99" s="37"/>
      <c r="AW99" s="37"/>
      <c r="AX99" s="37"/>
      <c r="AY99" s="37"/>
      <c r="AZ99" s="37"/>
      <c r="BA99" s="64"/>
    </row>
    <row r="100" spans="1:53">
      <c r="A100" s="231">
        <v>2087</v>
      </c>
      <c r="B100" s="4">
        <v>103205</v>
      </c>
      <c r="C100" s="4" t="s">
        <v>649</v>
      </c>
      <c r="D100" s="4" t="s">
        <v>650</v>
      </c>
      <c r="E100" s="213" t="s">
        <v>5</v>
      </c>
      <c r="F100" s="248" t="s">
        <v>411</v>
      </c>
      <c r="G100" s="37"/>
      <c r="H100" s="272">
        <f>_xlfn.IFNA(VLOOKUP(A100,ISB!$A$4:$BY$454,67,FALSE),0)</f>
        <v>2098563.3911048486</v>
      </c>
      <c r="I100" s="272">
        <f>_xlfn.IFNA(VLOOKUP(A100,ISB!$A$4:$BY$454,72,FALSE),0)</f>
        <v>-9050.27</v>
      </c>
      <c r="J100" s="273">
        <f>-_xlfn.IFNA(VLOOKUP(A100,ISB!$A$4:$BY$454,76,FALSE),0)</f>
        <v>-25826.9925</v>
      </c>
      <c r="K100" s="273">
        <f>_xlfn.IFNA(VLOOKUP(A100,ISB!$A$4:$BY$454,77,FALSE),0)</f>
        <v>2063686.1286048486</v>
      </c>
      <c r="L100" s="273">
        <f>_xlfn.IFNA(VLOOKUP(A100,'Post 16'!A:AC,13,FALSE),0)+(_xlfn.IFNA(VLOOKUP(A100,'Post 16'!A:AC,25,FALSE),0))</f>
        <v>0</v>
      </c>
      <c r="M100" s="273">
        <f>VLOOKUP(A100,HN!A:P,16,FALSE)</f>
        <v>0</v>
      </c>
      <c r="N100" s="273">
        <f>VLOOKUP(A100,HN!A:T,20,FALSE)</f>
        <v>0</v>
      </c>
      <c r="O100" s="273">
        <f>VLOOKUP(A100,EY!A:O,15,FALSE)</f>
        <v>0</v>
      </c>
      <c r="P100" s="273">
        <f>-VLOOKUP(A100,Adjustments!A:M,11,FALSE)</f>
        <v>-9471</v>
      </c>
      <c r="Q100" s="273"/>
      <c r="R100" s="273"/>
      <c r="S100" s="273">
        <f t="shared" si="15"/>
        <v>2054215.1286048486</v>
      </c>
      <c r="T100" s="37"/>
      <c r="U100" s="37">
        <v>171184.59405040406</v>
      </c>
      <c r="V100" s="37">
        <v>171184.59405040406</v>
      </c>
      <c r="W100" s="37">
        <v>171184.59405040406</v>
      </c>
      <c r="X100" s="37">
        <v>171184.59</v>
      </c>
      <c r="Y100" s="37">
        <v>171184.59</v>
      </c>
      <c r="Z100" s="37">
        <f t="shared" si="17"/>
        <v>171184.59455670457</v>
      </c>
      <c r="AA100" s="37">
        <f t="shared" si="18"/>
        <v>171184.6</v>
      </c>
      <c r="AB100" s="37">
        <f t="shared" si="18"/>
        <v>171184.6</v>
      </c>
      <c r="AC100" s="37">
        <f t="shared" si="18"/>
        <v>171184.6</v>
      </c>
      <c r="AD100" s="37">
        <f t="shared" si="18"/>
        <v>171184.6</v>
      </c>
      <c r="AE100" s="37">
        <f t="shared" si="18"/>
        <v>171184.6</v>
      </c>
      <c r="AF100" s="37">
        <f t="shared" si="12"/>
        <v>171184.57189693139</v>
      </c>
      <c r="AG100" s="37">
        <f t="shared" si="13"/>
        <v>2054215.1286048486</v>
      </c>
      <c r="AH100" s="37" t="b">
        <f t="shared" si="14"/>
        <v>1</v>
      </c>
      <c r="AI100" s="37"/>
      <c r="AJ100" s="37"/>
      <c r="AK100" s="37"/>
      <c r="AL100" s="37"/>
      <c r="AM100" s="37"/>
      <c r="AN100" s="37"/>
      <c r="AO100" s="37"/>
      <c r="AP100" s="207"/>
      <c r="AR100" s="37"/>
      <c r="AS100" s="37"/>
      <c r="AT100" s="37"/>
      <c r="AU100" s="37"/>
      <c r="AV100" s="37"/>
      <c r="AW100" s="37"/>
      <c r="AX100" s="37"/>
      <c r="AY100" s="37"/>
      <c r="AZ100" s="37"/>
      <c r="BA100" s="64"/>
    </row>
    <row r="101" spans="1:53">
      <c r="A101" s="231">
        <v>2466</v>
      </c>
      <c r="B101" s="4">
        <v>103392</v>
      </c>
      <c r="C101" s="4" t="s">
        <v>652</v>
      </c>
      <c r="D101" s="4" t="s">
        <v>653</v>
      </c>
      <c r="E101" s="213" t="s">
        <v>5</v>
      </c>
      <c r="F101" s="248" t="s">
        <v>411</v>
      </c>
      <c r="G101" s="37"/>
      <c r="H101" s="272">
        <f>_xlfn.IFNA(VLOOKUP(A101,ISB!$A$4:$BY$454,67,FALSE),0)</f>
        <v>3365457.4227021178</v>
      </c>
      <c r="I101" s="272">
        <f>_xlfn.IFNA(VLOOKUP(A101,ISB!$A$4:$BY$454,72,FALSE),0)</f>
        <v>-15042</v>
      </c>
      <c r="J101" s="273">
        <f>-_xlfn.IFNA(VLOOKUP(A101,ISB!$A$4:$BY$454,76,FALSE),0)</f>
        <v>-30739.814399999999</v>
      </c>
      <c r="K101" s="273">
        <f>_xlfn.IFNA(VLOOKUP(A101,ISB!$A$4:$BY$454,77,FALSE),0)</f>
        <v>3319675.6083021178</v>
      </c>
      <c r="L101" s="273">
        <f>_xlfn.IFNA(VLOOKUP(A101,'Post 16'!A:AC,13,FALSE),0)+(_xlfn.IFNA(VLOOKUP(A101,'Post 16'!A:AC,25,FALSE),0))</f>
        <v>0</v>
      </c>
      <c r="M101" s="273">
        <f>VLOOKUP(A101,HN!A:P,16,FALSE)</f>
        <v>0</v>
      </c>
      <c r="N101" s="273">
        <f>VLOOKUP(A101,HN!A:T,20,FALSE)</f>
        <v>0</v>
      </c>
      <c r="O101" s="273">
        <f>VLOOKUP(A101,EY!A:O,15,FALSE)</f>
        <v>200120.99999999997</v>
      </c>
      <c r="P101" s="273">
        <f>-VLOOKUP(A101,Adjustments!A:M,11,FALSE)</f>
        <v>-18745.650000000001</v>
      </c>
      <c r="Q101" s="273"/>
      <c r="R101" s="273"/>
      <c r="S101" s="273">
        <f t="shared" si="15"/>
        <v>3501050.9583021179</v>
      </c>
      <c r="T101" s="37"/>
      <c r="U101" s="37">
        <v>292075.40970699466</v>
      </c>
      <c r="V101" s="37">
        <v>292075.40970699466</v>
      </c>
      <c r="W101" s="37">
        <v>292075.40970699466</v>
      </c>
      <c r="X101" s="37">
        <v>291647.19</v>
      </c>
      <c r="Y101" s="37">
        <v>291647.19</v>
      </c>
      <c r="Z101" s="37">
        <f t="shared" si="17"/>
        <v>291647.19239764172</v>
      </c>
      <c r="AA101" s="37">
        <f t="shared" si="18"/>
        <v>291647.19</v>
      </c>
      <c r="AB101" s="37">
        <f t="shared" si="18"/>
        <v>291647.19</v>
      </c>
      <c r="AC101" s="37">
        <f t="shared" si="18"/>
        <v>291647.19</v>
      </c>
      <c r="AD101" s="37">
        <f t="shared" si="18"/>
        <v>291647.19</v>
      </c>
      <c r="AE101" s="37">
        <f t="shared" si="18"/>
        <v>291647.19</v>
      </c>
      <c r="AF101" s="37">
        <f t="shared" si="12"/>
        <v>291647.20678349258</v>
      </c>
      <c r="AG101" s="37">
        <f t="shared" si="13"/>
        <v>3501050.9583021179</v>
      </c>
      <c r="AH101" s="37" t="b">
        <f t="shared" si="14"/>
        <v>1</v>
      </c>
      <c r="AI101" s="37"/>
      <c r="AJ101" s="37"/>
      <c r="AK101" s="37"/>
      <c r="AL101" s="37"/>
      <c r="AM101" s="37"/>
      <c r="AN101" s="37"/>
      <c r="AO101" s="37"/>
      <c r="AP101" s="207"/>
      <c r="AR101" s="37"/>
      <c r="AS101" s="37"/>
      <c r="AT101" s="37"/>
      <c r="AU101" s="37"/>
      <c r="AV101" s="37"/>
      <c r="AW101" s="37"/>
      <c r="AX101" s="37"/>
      <c r="AY101" s="37"/>
      <c r="AZ101" s="37"/>
      <c r="BA101" s="64"/>
    </row>
    <row r="102" spans="1:53">
      <c r="A102" s="231">
        <v>2091</v>
      </c>
      <c r="B102" s="4">
        <v>103208</v>
      </c>
      <c r="C102" s="4" t="s">
        <v>655</v>
      </c>
      <c r="D102" s="4" t="s">
        <v>656</v>
      </c>
      <c r="E102" s="213" t="s">
        <v>5</v>
      </c>
      <c r="F102" s="248" t="s">
        <v>411</v>
      </c>
      <c r="G102" s="37"/>
      <c r="H102" s="272">
        <f>_xlfn.IFNA(VLOOKUP(A102,ISB!$A$4:$BY$454,67,FALSE),0)</f>
        <v>1066799.3999443201</v>
      </c>
      <c r="I102" s="272">
        <f>_xlfn.IFNA(VLOOKUP(A102,ISB!$A$4:$BY$454,72,FALSE),0)</f>
        <v>-4462.46</v>
      </c>
      <c r="J102" s="273">
        <f>-_xlfn.IFNA(VLOOKUP(A102,ISB!$A$4:$BY$454,76,FALSE),0)</f>
        <v>-16916.678800000002</v>
      </c>
      <c r="K102" s="273">
        <f>_xlfn.IFNA(VLOOKUP(A102,ISB!$A$4:$BY$454,77,FALSE),0)</f>
        <v>1045420.2611443201</v>
      </c>
      <c r="L102" s="273">
        <f>_xlfn.IFNA(VLOOKUP(A102,'Post 16'!A:AC,13,FALSE),0)+(_xlfn.IFNA(VLOOKUP(A102,'Post 16'!A:AC,25,FALSE),0))</f>
        <v>0</v>
      </c>
      <c r="M102" s="273">
        <f>VLOOKUP(A102,HN!A:P,16,FALSE)</f>
        <v>0</v>
      </c>
      <c r="N102" s="273">
        <f>VLOOKUP(A102,HN!A:T,20,FALSE)</f>
        <v>0</v>
      </c>
      <c r="O102" s="273">
        <f>VLOOKUP(A102,EY!A:O,15,FALSE)</f>
        <v>0</v>
      </c>
      <c r="P102" s="273">
        <f>-VLOOKUP(A102,Adjustments!A:M,11,FALSE)</f>
        <v>-5139.75</v>
      </c>
      <c r="Q102" s="273"/>
      <c r="R102" s="273">
        <v>-7014.67</v>
      </c>
      <c r="S102" s="273">
        <f t="shared" si="15"/>
        <v>1033265.8411443201</v>
      </c>
      <c r="T102" s="37"/>
      <c r="U102" s="37">
        <v>86105.486762026674</v>
      </c>
      <c r="V102" s="37">
        <v>86105.486762026674</v>
      </c>
      <c r="W102" s="37">
        <v>86105.486762026674</v>
      </c>
      <c r="X102" s="37">
        <v>86105.49</v>
      </c>
      <c r="Y102" s="37">
        <v>86105.49</v>
      </c>
      <c r="Z102" s="37">
        <f t="shared" si="17"/>
        <v>86105.48635728001</v>
      </c>
      <c r="AA102" s="37">
        <f t="shared" si="18"/>
        <v>86105.49</v>
      </c>
      <c r="AB102" s="37">
        <f t="shared" si="18"/>
        <v>86105.49</v>
      </c>
      <c r="AC102" s="37">
        <f t="shared" si="18"/>
        <v>86105.49</v>
      </c>
      <c r="AD102" s="37">
        <f t="shared" si="18"/>
        <v>86105.49</v>
      </c>
      <c r="AE102" s="37">
        <f t="shared" si="18"/>
        <v>86105.49</v>
      </c>
      <c r="AF102" s="37">
        <f t="shared" si="12"/>
        <v>86105.464500960079</v>
      </c>
      <c r="AG102" s="37">
        <f t="shared" si="13"/>
        <v>1033265.8411443201</v>
      </c>
      <c r="AH102" s="37" t="b">
        <f t="shared" si="14"/>
        <v>1</v>
      </c>
      <c r="AI102" s="37"/>
      <c r="AJ102" s="37"/>
      <c r="AK102" s="37"/>
      <c r="AL102" s="37"/>
      <c r="AM102" s="37"/>
      <c r="AN102" s="37"/>
      <c r="AO102" s="37"/>
      <c r="AP102" s="207"/>
      <c r="AR102" s="37"/>
      <c r="AS102" s="37"/>
      <c r="AT102" s="37"/>
      <c r="AU102" s="37"/>
      <c r="AV102" s="37"/>
      <c r="AW102" s="37"/>
      <c r="AX102" s="37"/>
      <c r="AY102" s="37"/>
      <c r="AZ102" s="37"/>
      <c r="BA102" s="64"/>
    </row>
    <row r="103" spans="1:53">
      <c r="A103" s="231">
        <v>7006</v>
      </c>
      <c r="B103" s="4">
        <v>103600</v>
      </c>
      <c r="C103" s="4" t="s">
        <v>658</v>
      </c>
      <c r="D103" s="4" t="s">
        <v>659</v>
      </c>
      <c r="E103" s="213" t="s">
        <v>1093</v>
      </c>
      <c r="F103" s="248" t="s">
        <v>411</v>
      </c>
      <c r="G103" s="37"/>
      <c r="H103" s="272">
        <f>_xlfn.IFNA(VLOOKUP(A103,ISB!$A$4:$BY$454,67,FALSE),0)</f>
        <v>0</v>
      </c>
      <c r="I103" s="272">
        <f>_xlfn.IFNA(VLOOKUP(A103,ISB!$A$4:$BY$454,72,FALSE),0)</f>
        <v>0</v>
      </c>
      <c r="J103" s="273">
        <f>-_xlfn.IFNA(VLOOKUP(A103,ISB!$A$4:$BY$454,76,FALSE),0)</f>
        <v>0</v>
      </c>
      <c r="K103" s="273">
        <f>_xlfn.IFNA(VLOOKUP(A103,ISB!$A$4:$BY$454,77,FALSE),0)</f>
        <v>0</v>
      </c>
      <c r="L103" s="273">
        <f>_xlfn.IFNA(VLOOKUP(A103,'Post 16'!A:AC,13,FALSE),0)+(_xlfn.IFNA(VLOOKUP(A103,'Post 16'!A:AC,25,FALSE),0))</f>
        <v>0</v>
      </c>
      <c r="M103" s="273">
        <f>VLOOKUP(A103,HN!A:P,16,FALSE)</f>
        <v>4115253.5085748592</v>
      </c>
      <c r="N103" s="273">
        <f>VLOOKUP(A103,HN!A:T,20,FALSE)</f>
        <v>0</v>
      </c>
      <c r="O103" s="273">
        <f>VLOOKUP(A103,EY!A:O,15,FALSE)</f>
        <v>0</v>
      </c>
      <c r="P103" s="273">
        <f>-VLOOKUP(A103,Adjustments!A:M,11,FALSE)</f>
        <v>-5139.75</v>
      </c>
      <c r="Q103" s="273"/>
      <c r="R103" s="273"/>
      <c r="S103" s="273">
        <f t="shared" si="15"/>
        <v>4110113.7585748592</v>
      </c>
      <c r="T103" s="37"/>
      <c r="U103" s="37">
        <v>321477.81321457162</v>
      </c>
      <c r="V103" s="37">
        <v>321477.81321457162</v>
      </c>
      <c r="W103" s="37">
        <v>321477.81321457162</v>
      </c>
      <c r="X103" s="37">
        <v>349520.04</v>
      </c>
      <c r="Y103" s="37">
        <v>349520.03</v>
      </c>
      <c r="Z103" s="37">
        <f t="shared" si="17"/>
        <v>349520.03486639308</v>
      </c>
      <c r="AA103" s="37">
        <f t="shared" si="18"/>
        <v>349520.04</v>
      </c>
      <c r="AB103" s="37">
        <f t="shared" si="18"/>
        <v>349520.04</v>
      </c>
      <c r="AC103" s="37">
        <f t="shared" si="18"/>
        <v>349520.04</v>
      </c>
      <c r="AD103" s="37">
        <f t="shared" si="18"/>
        <v>349520.04</v>
      </c>
      <c r="AE103" s="37">
        <f t="shared" si="18"/>
        <v>349520.04</v>
      </c>
      <c r="AF103" s="37">
        <f t="shared" si="12"/>
        <v>349520.0140647511</v>
      </c>
      <c r="AG103" s="37">
        <f t="shared" si="13"/>
        <v>4110113.7585748592</v>
      </c>
      <c r="AH103" s="37" t="b">
        <f t="shared" si="14"/>
        <v>1</v>
      </c>
      <c r="AI103" s="37"/>
      <c r="AJ103" s="37"/>
      <c r="AK103" s="37"/>
      <c r="AL103" s="37"/>
      <c r="AM103" s="37"/>
      <c r="AN103" s="37"/>
      <c r="AO103" s="37"/>
      <c r="AP103" s="207"/>
      <c r="AR103" s="37"/>
      <c r="AS103" s="37"/>
      <c r="AT103" s="37"/>
      <c r="AU103" s="37"/>
      <c r="AV103" s="37"/>
      <c r="AW103" s="37"/>
      <c r="AX103" s="37"/>
      <c r="AY103" s="37"/>
      <c r="AZ103" s="37"/>
      <c r="BA103" s="64"/>
    </row>
    <row r="104" spans="1:53">
      <c r="A104" s="231">
        <v>2477</v>
      </c>
      <c r="B104" s="4">
        <v>132261</v>
      </c>
      <c r="C104" s="4" t="s">
        <v>661</v>
      </c>
      <c r="D104" s="4" t="s">
        <v>662</v>
      </c>
      <c r="E104" s="213" t="s">
        <v>5</v>
      </c>
      <c r="F104" s="248" t="s">
        <v>411</v>
      </c>
      <c r="G104" s="37"/>
      <c r="H104" s="272">
        <f>_xlfn.IFNA(VLOOKUP(A104,ISB!$A$4:$BY$454,67,FALSE),0)</f>
        <v>3919544.7784000002</v>
      </c>
      <c r="I104" s="272">
        <f>_xlfn.IFNA(VLOOKUP(A104,ISB!$A$4:$BY$454,72,FALSE),0)</f>
        <v>-20682.75</v>
      </c>
      <c r="J104" s="273">
        <f>-_xlfn.IFNA(VLOOKUP(A104,ISB!$A$4:$BY$454,76,FALSE),0)</f>
        <v>-33389.7984</v>
      </c>
      <c r="K104" s="273">
        <f>_xlfn.IFNA(VLOOKUP(A104,ISB!$A$4:$BY$454,77,FALSE),0)</f>
        <v>3865472.23</v>
      </c>
      <c r="L104" s="273">
        <f>_xlfn.IFNA(VLOOKUP(A104,'Post 16'!A:AC,13,FALSE),0)+(_xlfn.IFNA(VLOOKUP(A104,'Post 16'!A:AC,25,FALSE),0))</f>
        <v>0</v>
      </c>
      <c r="M104" s="273">
        <f>VLOOKUP(A104,HN!A:P,16,FALSE)</f>
        <v>0</v>
      </c>
      <c r="N104" s="273">
        <f>VLOOKUP(A104,HN!A:T,20,FALSE)</f>
        <v>0</v>
      </c>
      <c r="O104" s="273">
        <f>VLOOKUP(A104,EY!A:O,15,FALSE)</f>
        <v>0</v>
      </c>
      <c r="P104" s="273">
        <f>-VLOOKUP(A104,Adjustments!A:M,11,FALSE)</f>
        <v>-24312.75</v>
      </c>
      <c r="Q104" s="273"/>
      <c r="R104" s="273"/>
      <c r="S104" s="273">
        <f t="shared" si="15"/>
        <v>3841159.48</v>
      </c>
      <c r="T104" s="37"/>
      <c r="U104" s="37">
        <v>320096.62333333335</v>
      </c>
      <c r="V104" s="37">
        <v>320096.62333333335</v>
      </c>
      <c r="W104" s="37">
        <v>320096.62333333335</v>
      </c>
      <c r="X104" s="37">
        <v>320096.62</v>
      </c>
      <c r="Y104" s="37">
        <v>320096.62</v>
      </c>
      <c r="Z104" s="37">
        <f t="shared" si="17"/>
        <v>320096.62374999997</v>
      </c>
      <c r="AA104" s="37">
        <f t="shared" si="18"/>
        <v>320096.62</v>
      </c>
      <c r="AB104" s="37">
        <f t="shared" si="18"/>
        <v>320096.62</v>
      </c>
      <c r="AC104" s="37">
        <f t="shared" si="18"/>
        <v>320096.62</v>
      </c>
      <c r="AD104" s="37">
        <f t="shared" si="18"/>
        <v>320096.62</v>
      </c>
      <c r="AE104" s="37">
        <f t="shared" si="18"/>
        <v>320096.62</v>
      </c>
      <c r="AF104" s="37">
        <f t="shared" si="12"/>
        <v>320096.64624999929</v>
      </c>
      <c r="AG104" s="37">
        <f t="shared" si="13"/>
        <v>3841159.48</v>
      </c>
      <c r="AH104" s="37" t="b">
        <f t="shared" si="14"/>
        <v>1</v>
      </c>
      <c r="AI104" s="37"/>
      <c r="AJ104" s="37"/>
      <c r="AK104" s="37"/>
      <c r="AL104" s="37"/>
      <c r="AM104" s="37"/>
      <c r="AN104" s="37"/>
      <c r="AO104" s="37"/>
      <c r="AP104" s="207"/>
      <c r="AR104" s="37"/>
      <c r="AS104" s="37"/>
      <c r="AT104" s="37"/>
      <c r="AU104" s="37"/>
      <c r="AV104" s="37"/>
      <c r="AW104" s="37"/>
      <c r="AX104" s="37"/>
      <c r="AY104" s="37"/>
      <c r="AZ104" s="37"/>
      <c r="BA104" s="64"/>
    </row>
    <row r="105" spans="1:53">
      <c r="A105" s="231">
        <v>3436</v>
      </c>
      <c r="B105" s="4">
        <v>136440</v>
      </c>
      <c r="C105" s="4" t="s">
        <v>664</v>
      </c>
      <c r="D105" s="4" t="s">
        <v>665</v>
      </c>
      <c r="E105" s="213" t="s">
        <v>5</v>
      </c>
      <c r="F105" s="248" t="s">
        <v>411</v>
      </c>
      <c r="G105" s="37"/>
      <c r="H105" s="272">
        <f>_xlfn.IFNA(VLOOKUP(A105,ISB!$A$4:$BY$454,67,FALSE),0)</f>
        <v>1059959.7096348263</v>
      </c>
      <c r="I105" s="272">
        <f>_xlfn.IFNA(VLOOKUP(A105,ISB!$A$4:$BY$454,72,FALSE),0)</f>
        <v>-4412.32</v>
      </c>
      <c r="J105" s="273">
        <f>-_xlfn.IFNA(VLOOKUP(A105,ISB!$A$4:$BY$454,76,FALSE),0)</f>
        <v>-6677.9638000000004</v>
      </c>
      <c r="K105" s="273">
        <f>_xlfn.IFNA(VLOOKUP(A105,ISB!$A$4:$BY$454,77,FALSE),0)</f>
        <v>1048869.4258348262</v>
      </c>
      <c r="L105" s="273">
        <f>_xlfn.IFNA(VLOOKUP(A105,'Post 16'!A:AC,13,FALSE),0)+(_xlfn.IFNA(VLOOKUP(A105,'Post 16'!A:AC,25,FALSE),0))</f>
        <v>0</v>
      </c>
      <c r="M105" s="273">
        <f>VLOOKUP(A105,HN!A:P,16,FALSE)</f>
        <v>0</v>
      </c>
      <c r="N105" s="273">
        <f>VLOOKUP(A105,HN!A:T,20,FALSE)</f>
        <v>0</v>
      </c>
      <c r="O105" s="273">
        <f>VLOOKUP(A105,EY!A:O,15,FALSE)</f>
        <v>0</v>
      </c>
      <c r="P105" s="273">
        <f>-VLOOKUP(A105,Adjustments!A:M,11,FALSE)</f>
        <v>-5139.75</v>
      </c>
      <c r="Q105" s="273"/>
      <c r="R105" s="273"/>
      <c r="S105" s="273">
        <f t="shared" si="15"/>
        <v>1043729.6758348262</v>
      </c>
      <c r="T105" s="37"/>
      <c r="U105" s="37">
        <v>86977.472986235516</v>
      </c>
      <c r="V105" s="37">
        <v>86977.472986235516</v>
      </c>
      <c r="W105" s="37">
        <v>86977.472986235516</v>
      </c>
      <c r="X105" s="37">
        <v>86977.47</v>
      </c>
      <c r="Y105" s="37">
        <v>86977.47</v>
      </c>
      <c r="Z105" s="37">
        <f t="shared" si="17"/>
        <v>86977.473359514959</v>
      </c>
      <c r="AA105" s="37">
        <f t="shared" si="18"/>
        <v>86977.47</v>
      </c>
      <c r="AB105" s="37">
        <f t="shared" si="18"/>
        <v>86977.47</v>
      </c>
      <c r="AC105" s="37">
        <f t="shared" si="18"/>
        <v>86977.47</v>
      </c>
      <c r="AD105" s="37">
        <f t="shared" si="18"/>
        <v>86977.47</v>
      </c>
      <c r="AE105" s="37">
        <f t="shared" si="18"/>
        <v>86977.47</v>
      </c>
      <c r="AF105" s="37">
        <f t="shared" si="12"/>
        <v>86977.493516604882</v>
      </c>
      <c r="AG105" s="37">
        <f t="shared" si="13"/>
        <v>1043729.6758348262</v>
      </c>
      <c r="AH105" s="37" t="b">
        <f t="shared" si="14"/>
        <v>1</v>
      </c>
      <c r="AI105" s="37"/>
      <c r="AJ105" s="37"/>
      <c r="AK105" s="37"/>
      <c r="AL105" s="37"/>
      <c r="AM105" s="37"/>
      <c r="AN105" s="37"/>
      <c r="AO105" s="37"/>
      <c r="AP105" s="207"/>
      <c r="AR105" s="37"/>
      <c r="AS105" s="37"/>
      <c r="AT105" s="37"/>
      <c r="AU105" s="37"/>
      <c r="AV105" s="37"/>
      <c r="AW105" s="37"/>
      <c r="AX105" s="37"/>
      <c r="AY105" s="37"/>
      <c r="AZ105" s="37"/>
      <c r="BA105" s="64"/>
    </row>
    <row r="106" spans="1:53">
      <c r="A106" s="231">
        <v>1010</v>
      </c>
      <c r="B106" s="4">
        <v>103125</v>
      </c>
      <c r="C106" s="4" t="s">
        <v>667</v>
      </c>
      <c r="D106" s="4" t="s">
        <v>668</v>
      </c>
      <c r="E106" s="213" t="s">
        <v>180</v>
      </c>
      <c r="F106" s="248" t="s">
        <v>411</v>
      </c>
      <c r="G106" s="37"/>
      <c r="H106" s="272">
        <f>_xlfn.IFNA(VLOOKUP(A106,ISB!$A$4:$BY$454,67,FALSE),0)</f>
        <v>0</v>
      </c>
      <c r="I106" s="272">
        <f>_xlfn.IFNA(VLOOKUP(A106,ISB!$A$4:$BY$454,72,FALSE),0)</f>
        <v>0</v>
      </c>
      <c r="J106" s="273">
        <f>-_xlfn.IFNA(VLOOKUP(A106,ISB!$A$4:$BY$454,76,FALSE),0)</f>
        <v>0</v>
      </c>
      <c r="K106" s="273">
        <f>_xlfn.IFNA(VLOOKUP(A106,ISB!$A$4:$BY$454,77,FALSE),0)</f>
        <v>0</v>
      </c>
      <c r="L106" s="273">
        <f>_xlfn.IFNA(VLOOKUP(A106,'Post 16'!A:AC,13,FALSE),0)+(_xlfn.IFNA(VLOOKUP(A106,'Post 16'!A:AC,25,FALSE),0))</f>
        <v>0</v>
      </c>
      <c r="M106" s="273">
        <f>VLOOKUP(A106,HN!A:P,16,FALSE)</f>
        <v>0</v>
      </c>
      <c r="N106" s="273">
        <f>VLOOKUP(A106,HN!A:T,20,FALSE)</f>
        <v>0</v>
      </c>
      <c r="O106" s="273">
        <f>VLOOKUP(A106,EY!A:O,15,FALSE)</f>
        <v>836241.46666666667</v>
      </c>
      <c r="P106" s="273">
        <f>-VLOOKUP(A106,Adjustments!A:M,11,FALSE)</f>
        <v>-3291.75</v>
      </c>
      <c r="Q106" s="273"/>
      <c r="R106" s="273"/>
      <c r="S106" s="273">
        <f t="shared" si="15"/>
        <v>832949.71666666667</v>
      </c>
      <c r="T106" s="37"/>
      <c r="U106" s="37">
        <v>65870.770748026684</v>
      </c>
      <c r="V106" s="37">
        <v>65870.770748026684</v>
      </c>
      <c r="W106" s="37">
        <v>65870.770748026684</v>
      </c>
      <c r="X106" s="37">
        <v>70593.039999999994</v>
      </c>
      <c r="Y106" s="37">
        <v>70593.05</v>
      </c>
      <c r="Z106" s="37">
        <f t="shared" si="17"/>
        <v>70593.045552823329</v>
      </c>
      <c r="AA106" s="37">
        <f t="shared" si="18"/>
        <v>70593.039999999994</v>
      </c>
      <c r="AB106" s="37">
        <f t="shared" si="18"/>
        <v>70593.039999999994</v>
      </c>
      <c r="AC106" s="37">
        <f t="shared" si="18"/>
        <v>70593.039999999994</v>
      </c>
      <c r="AD106" s="37">
        <f t="shared" si="18"/>
        <v>70593.039999999994</v>
      </c>
      <c r="AE106" s="37">
        <f t="shared" si="18"/>
        <v>70593.039999999994</v>
      </c>
      <c r="AF106" s="37">
        <f t="shared" si="12"/>
        <v>70593.06886976317</v>
      </c>
      <c r="AG106" s="37">
        <f t="shared" si="13"/>
        <v>832949.71666666667</v>
      </c>
      <c r="AH106" s="37" t="b">
        <f t="shared" si="14"/>
        <v>1</v>
      </c>
      <c r="AI106" s="37"/>
      <c r="AJ106" s="37"/>
      <c r="AK106" s="37"/>
      <c r="AL106" s="37"/>
      <c r="AM106" s="37"/>
      <c r="AN106" s="37"/>
      <c r="AO106" s="37"/>
      <c r="AP106" s="207"/>
      <c r="AR106" s="37"/>
      <c r="AS106" s="37"/>
      <c r="AT106" s="37"/>
      <c r="AU106" s="37"/>
      <c r="AV106" s="37"/>
      <c r="AW106" s="37"/>
      <c r="AX106" s="37"/>
      <c r="AY106" s="37"/>
      <c r="AZ106" s="37"/>
      <c r="BA106" s="64"/>
    </row>
    <row r="107" spans="1:53">
      <c r="A107" s="231">
        <v>3411</v>
      </c>
      <c r="B107" s="4">
        <v>103479</v>
      </c>
      <c r="C107" s="4" t="s">
        <v>673</v>
      </c>
      <c r="D107" s="4" t="s">
        <v>674</v>
      </c>
      <c r="E107" s="213" t="s">
        <v>5</v>
      </c>
      <c r="F107" s="248" t="s">
        <v>411</v>
      </c>
      <c r="G107" s="37"/>
      <c r="H107" s="272">
        <f>_xlfn.IFNA(VLOOKUP(A107,ISB!$A$4:$BY$454,67,FALSE),0)</f>
        <v>1059897.4465785713</v>
      </c>
      <c r="I107" s="272">
        <f>_xlfn.IFNA(VLOOKUP(A107,ISB!$A$4:$BY$454,72,FALSE),0)</f>
        <v>-3835.71</v>
      </c>
      <c r="J107" s="273">
        <f>-_xlfn.IFNA(VLOOKUP(A107,ISB!$A$4:$BY$454,76,FALSE),0)</f>
        <v>-33654.796799999996</v>
      </c>
      <c r="K107" s="273">
        <f>_xlfn.IFNA(VLOOKUP(A107,ISB!$A$4:$BY$454,77,FALSE),0)</f>
        <v>1022406.9397785714</v>
      </c>
      <c r="L107" s="273">
        <f>_xlfn.IFNA(VLOOKUP(A107,'Post 16'!A:AC,13,FALSE),0)+(_xlfn.IFNA(VLOOKUP(A107,'Post 16'!A:AC,25,FALSE),0))</f>
        <v>0</v>
      </c>
      <c r="M107" s="273">
        <f>VLOOKUP(A107,HN!A:P,16,FALSE)</f>
        <v>0</v>
      </c>
      <c r="N107" s="273">
        <f>VLOOKUP(A107,HN!A:T,20,FALSE)</f>
        <v>0</v>
      </c>
      <c r="O107" s="273">
        <f>VLOOKUP(A107,EY!A:O,15,FALSE)</f>
        <v>96321.5</v>
      </c>
      <c r="P107" s="273">
        <f>-VLOOKUP(A107,Adjustments!A:M,11,FALSE)</f>
        <v>-4100</v>
      </c>
      <c r="Q107" s="273"/>
      <c r="R107" s="273"/>
      <c r="S107" s="273">
        <f t="shared" si="15"/>
        <v>1114628.4397785715</v>
      </c>
      <c r="T107" s="37"/>
      <c r="U107" s="37">
        <v>92460.809016635336</v>
      </c>
      <c r="V107" s="37">
        <v>92460.809016635336</v>
      </c>
      <c r="W107" s="37">
        <v>92460.809016635336</v>
      </c>
      <c r="X107" s="37">
        <v>93482.89</v>
      </c>
      <c r="Y107" s="37">
        <v>93482.89</v>
      </c>
      <c r="Z107" s="37">
        <f t="shared" ref="Z107:Z138" si="19">($S107-SUM($U107:$X107))/8</f>
        <v>92970.390341083184</v>
      </c>
      <c r="AA107" s="37">
        <f t="shared" si="18"/>
        <v>92897.18</v>
      </c>
      <c r="AB107" s="37">
        <f t="shared" si="18"/>
        <v>92897.18</v>
      </c>
      <c r="AC107" s="37">
        <f t="shared" si="18"/>
        <v>92897.18</v>
      </c>
      <c r="AD107" s="37">
        <f t="shared" si="18"/>
        <v>92897.18</v>
      </c>
      <c r="AE107" s="37">
        <f t="shared" si="18"/>
        <v>92897.18</v>
      </c>
      <c r="AF107" s="37">
        <f t="shared" si="12"/>
        <v>92823.942387582501</v>
      </c>
      <c r="AG107" s="37">
        <f t="shared" si="13"/>
        <v>1114628.4397785715</v>
      </c>
      <c r="AH107" s="37" t="b">
        <f t="shared" si="14"/>
        <v>1</v>
      </c>
      <c r="AI107" s="37"/>
      <c r="AJ107" s="37"/>
      <c r="AK107" s="37"/>
      <c r="AL107" s="37"/>
      <c r="AM107" s="37"/>
      <c r="AN107" s="37"/>
      <c r="AO107" s="37"/>
      <c r="AP107" s="207"/>
      <c r="AR107" s="37"/>
      <c r="AS107" s="37"/>
      <c r="AT107" s="37"/>
      <c r="AU107" s="37"/>
      <c r="AV107" s="37"/>
      <c r="AW107" s="37"/>
      <c r="AX107" s="37"/>
      <c r="AY107" s="37"/>
      <c r="AZ107" s="37"/>
      <c r="BA107" s="64"/>
    </row>
    <row r="108" spans="1:53">
      <c r="A108" s="231">
        <v>2474</v>
      </c>
      <c r="B108" s="4">
        <v>131672</v>
      </c>
      <c r="C108" s="4" t="s">
        <v>676</v>
      </c>
      <c r="D108" s="4" t="s">
        <v>677</v>
      </c>
      <c r="E108" s="213" t="s">
        <v>5</v>
      </c>
      <c r="F108" s="248" t="s">
        <v>411</v>
      </c>
      <c r="G108" s="37"/>
      <c r="H108" s="272">
        <f>_xlfn.IFNA(VLOOKUP(A108,ISB!$A$4:$BY$454,67,FALSE),0)</f>
        <v>2087162.7430941744</v>
      </c>
      <c r="I108" s="272">
        <f>_xlfn.IFNA(VLOOKUP(A108,ISB!$A$4:$BY$454,72,FALSE),0)</f>
        <v>-10554.47</v>
      </c>
      <c r="J108" s="273">
        <f>-_xlfn.IFNA(VLOOKUP(A108,ISB!$A$4:$BY$454,76,FALSE),0)</f>
        <v>-33857.500800000002</v>
      </c>
      <c r="K108" s="273">
        <f>_xlfn.IFNA(VLOOKUP(A108,ISB!$A$4:$BY$454,77,FALSE),0)</f>
        <v>2042750.7722941744</v>
      </c>
      <c r="L108" s="273">
        <f>_xlfn.IFNA(VLOOKUP(A108,'Post 16'!A:AC,13,FALSE),0)+(_xlfn.IFNA(VLOOKUP(A108,'Post 16'!A:AC,25,FALSE),0))</f>
        <v>0</v>
      </c>
      <c r="M108" s="273">
        <f>VLOOKUP(A108,HN!A:P,16,FALSE)</f>
        <v>0</v>
      </c>
      <c r="N108" s="273">
        <f>VLOOKUP(A108,HN!A:T,20,FALSE)</f>
        <v>0</v>
      </c>
      <c r="O108" s="273">
        <f>VLOOKUP(A108,EY!A:O,15,FALSE)</f>
        <v>0</v>
      </c>
      <c r="P108" s="273">
        <f>-VLOOKUP(A108,Adjustments!A:M,11,FALSE)</f>
        <v>-9471</v>
      </c>
      <c r="Q108" s="273"/>
      <c r="R108" s="273"/>
      <c r="S108" s="273">
        <f t="shared" si="15"/>
        <v>2033279.7722941744</v>
      </c>
      <c r="T108" s="37"/>
      <c r="U108" s="37">
        <v>169439.98102451453</v>
      </c>
      <c r="V108" s="37">
        <v>169439.98102451453</v>
      </c>
      <c r="W108" s="37">
        <v>169439.98102451453</v>
      </c>
      <c r="X108" s="37">
        <v>169439.98</v>
      </c>
      <c r="Y108" s="37">
        <v>169439.98</v>
      </c>
      <c r="Z108" s="37">
        <f t="shared" si="19"/>
        <v>169439.98115257884</v>
      </c>
      <c r="AA108" s="37">
        <f t="shared" si="18"/>
        <v>169439.98</v>
      </c>
      <c r="AB108" s="37">
        <f t="shared" si="18"/>
        <v>169439.98</v>
      </c>
      <c r="AC108" s="37">
        <f t="shared" si="18"/>
        <v>169439.98</v>
      </c>
      <c r="AD108" s="37">
        <f t="shared" si="18"/>
        <v>169439.98</v>
      </c>
      <c r="AE108" s="37">
        <f t="shared" si="18"/>
        <v>169439.98</v>
      </c>
      <c r="AF108" s="37">
        <f t="shared" si="12"/>
        <v>169439.9880680521</v>
      </c>
      <c r="AG108" s="37">
        <f t="shared" si="13"/>
        <v>2033279.7722941744</v>
      </c>
      <c r="AH108" s="37" t="b">
        <f t="shared" si="14"/>
        <v>1</v>
      </c>
      <c r="AI108" s="37"/>
      <c r="AJ108" s="37"/>
      <c r="AK108" s="37"/>
      <c r="AL108" s="37"/>
      <c r="AM108" s="37"/>
      <c r="AN108" s="37"/>
      <c r="AO108" s="37"/>
      <c r="AP108" s="207"/>
      <c r="AR108" s="37"/>
      <c r="AS108" s="37"/>
      <c r="AT108" s="37"/>
      <c r="AU108" s="37"/>
      <c r="AV108" s="37"/>
      <c r="AW108" s="37"/>
      <c r="AX108" s="37"/>
      <c r="AY108" s="37"/>
      <c r="AZ108" s="37"/>
      <c r="BA108" s="64"/>
    </row>
    <row r="109" spans="1:53">
      <c r="A109" s="231">
        <v>3317</v>
      </c>
      <c r="B109" s="4">
        <v>103421</v>
      </c>
      <c r="C109" s="4" t="s">
        <v>679</v>
      </c>
      <c r="D109" s="4" t="s">
        <v>161</v>
      </c>
      <c r="E109" s="213" t="s">
        <v>5</v>
      </c>
      <c r="F109" s="248" t="s">
        <v>411</v>
      </c>
      <c r="G109" s="37"/>
      <c r="H109" s="272">
        <f>_xlfn.IFNA(VLOOKUP(A109,ISB!$A$4:$BY$454,67,FALSE),0)</f>
        <v>1185582.2919365007</v>
      </c>
      <c r="I109" s="272">
        <f>_xlfn.IFNA(VLOOKUP(A109,ISB!$A$4:$BY$454,72,FALSE),0)</f>
        <v>-4863.58</v>
      </c>
      <c r="J109" s="273">
        <f>-_xlfn.IFNA(VLOOKUP(A109,ISB!$A$4:$BY$454,76,FALSE),0)</f>
        <v>-5246.9642000000003</v>
      </c>
      <c r="K109" s="273">
        <f>_xlfn.IFNA(VLOOKUP(A109,ISB!$A$4:$BY$454,77,FALSE),0)</f>
        <v>1175471.7477365006</v>
      </c>
      <c r="L109" s="273">
        <f>_xlfn.IFNA(VLOOKUP(A109,'Post 16'!A:AC,13,FALSE),0)+(_xlfn.IFNA(VLOOKUP(A109,'Post 16'!A:AC,25,FALSE),0))</f>
        <v>0</v>
      </c>
      <c r="M109" s="273">
        <f>VLOOKUP(A109,HN!A:P,16,FALSE)</f>
        <v>0</v>
      </c>
      <c r="N109" s="273">
        <f>VLOOKUP(A109,HN!A:T,20,FALSE)</f>
        <v>0</v>
      </c>
      <c r="O109" s="273">
        <f>VLOOKUP(A109,EY!A:O,15,FALSE)</f>
        <v>80514.799999999988</v>
      </c>
      <c r="P109" s="273">
        <f>-VLOOKUP(A109,Adjustments!A:M,11,FALSE)</f>
        <v>0</v>
      </c>
      <c r="Q109" s="273"/>
      <c r="R109" s="273"/>
      <c r="S109" s="273">
        <f t="shared" si="15"/>
        <v>1255986.5477365006</v>
      </c>
      <c r="T109" s="37"/>
      <c r="U109" s="37">
        <v>103687.88064470839</v>
      </c>
      <c r="V109" s="37">
        <v>103687.88064470839</v>
      </c>
      <c r="W109" s="37">
        <v>103687.88064470839</v>
      </c>
      <c r="X109" s="37">
        <v>104991.43</v>
      </c>
      <c r="Y109" s="37">
        <v>104991.43</v>
      </c>
      <c r="Z109" s="37">
        <f t="shared" si="19"/>
        <v>104991.43447529693</v>
      </c>
      <c r="AA109" s="37">
        <f t="shared" si="18"/>
        <v>104991.44</v>
      </c>
      <c r="AB109" s="37">
        <f t="shared" si="18"/>
        <v>104991.44</v>
      </c>
      <c r="AC109" s="37">
        <f t="shared" si="18"/>
        <v>104991.44</v>
      </c>
      <c r="AD109" s="37">
        <f t="shared" si="18"/>
        <v>104991.44</v>
      </c>
      <c r="AE109" s="37">
        <f t="shared" si="18"/>
        <v>104991.44</v>
      </c>
      <c r="AF109" s="37">
        <f t="shared" si="12"/>
        <v>104991.41132707871</v>
      </c>
      <c r="AG109" s="37">
        <f t="shared" si="13"/>
        <v>1255986.5477365006</v>
      </c>
      <c r="AH109" s="37" t="b">
        <f t="shared" si="14"/>
        <v>1</v>
      </c>
      <c r="AI109" s="37"/>
      <c r="AJ109" s="37"/>
      <c r="AK109" s="37"/>
      <c r="AL109" s="37"/>
      <c r="AM109" s="37"/>
      <c r="AN109" s="37"/>
      <c r="AO109" s="37"/>
      <c r="AP109" s="207"/>
      <c r="AR109" s="37"/>
      <c r="AS109" s="37"/>
      <c r="AT109" s="37"/>
      <c r="AU109" s="37"/>
      <c r="AV109" s="37"/>
      <c r="AW109" s="37"/>
      <c r="AX109" s="37"/>
      <c r="AY109" s="37"/>
      <c r="AZ109" s="37"/>
      <c r="BA109" s="64"/>
    </row>
    <row r="110" spans="1:53">
      <c r="A110" s="231">
        <v>1023</v>
      </c>
      <c r="B110" s="4">
        <v>103136</v>
      </c>
      <c r="C110" s="4" t="s">
        <v>681</v>
      </c>
      <c r="D110" s="4" t="s">
        <v>682</v>
      </c>
      <c r="E110" s="213" t="s">
        <v>180</v>
      </c>
      <c r="F110" s="248" t="s">
        <v>411</v>
      </c>
      <c r="G110" s="37"/>
      <c r="H110" s="272">
        <f>_xlfn.IFNA(VLOOKUP(A110,ISB!$A$4:$BY$454,67,FALSE),0)</f>
        <v>0</v>
      </c>
      <c r="I110" s="272">
        <f>_xlfn.IFNA(VLOOKUP(A110,ISB!$A$4:$BY$454,72,FALSE),0)</f>
        <v>0</v>
      </c>
      <c r="J110" s="273">
        <f>-_xlfn.IFNA(VLOOKUP(A110,ISB!$A$4:$BY$454,76,FALSE),0)</f>
        <v>0</v>
      </c>
      <c r="K110" s="273">
        <f>_xlfn.IFNA(VLOOKUP(A110,ISB!$A$4:$BY$454,77,FALSE),0)</f>
        <v>0</v>
      </c>
      <c r="L110" s="273">
        <f>_xlfn.IFNA(VLOOKUP(A110,'Post 16'!A:AC,13,FALSE),0)+(_xlfn.IFNA(VLOOKUP(A110,'Post 16'!A:AC,25,FALSE),0))</f>
        <v>0</v>
      </c>
      <c r="M110" s="273">
        <f>VLOOKUP(A110,HN!A:P,16,FALSE)</f>
        <v>0</v>
      </c>
      <c r="N110" s="273">
        <f>VLOOKUP(A110,HN!A:T,20,FALSE)</f>
        <v>0</v>
      </c>
      <c r="O110" s="273">
        <f>VLOOKUP(A110,EY!A:O,15,FALSE)</f>
        <v>543015.97</v>
      </c>
      <c r="P110" s="273">
        <f>-VLOOKUP(A110,Adjustments!A:M,11,FALSE)</f>
        <v>-3291.75</v>
      </c>
      <c r="Q110" s="273"/>
      <c r="R110" s="273"/>
      <c r="S110" s="273">
        <f t="shared" si="15"/>
        <v>539724.22</v>
      </c>
      <c r="T110" s="37"/>
      <c r="U110" s="37">
        <v>38805.485571314952</v>
      </c>
      <c r="V110" s="37">
        <v>38805.485571314952</v>
      </c>
      <c r="W110" s="37">
        <v>38805.485571314952</v>
      </c>
      <c r="X110" s="37">
        <v>47034.2</v>
      </c>
      <c r="Y110" s="37">
        <v>47034.2</v>
      </c>
      <c r="Z110" s="37">
        <f t="shared" si="19"/>
        <v>47034.195410756889</v>
      </c>
      <c r="AA110" s="37">
        <f t="shared" si="18"/>
        <v>47034.19</v>
      </c>
      <c r="AB110" s="37">
        <f t="shared" si="18"/>
        <v>47034.19</v>
      </c>
      <c r="AC110" s="37">
        <f t="shared" si="18"/>
        <v>47034.19</v>
      </c>
      <c r="AD110" s="37">
        <f t="shared" si="18"/>
        <v>47034.19</v>
      </c>
      <c r="AE110" s="37">
        <f t="shared" si="18"/>
        <v>47034.19</v>
      </c>
      <c r="AF110" s="37">
        <f t="shared" si="12"/>
        <v>47034.217875298229</v>
      </c>
      <c r="AG110" s="37">
        <f t="shared" si="13"/>
        <v>539724.22</v>
      </c>
      <c r="AH110" s="37" t="b">
        <f t="shared" si="14"/>
        <v>1</v>
      </c>
      <c r="AI110" s="37"/>
      <c r="AJ110" s="37"/>
      <c r="AK110" s="37"/>
      <c r="AL110" s="37"/>
      <c r="AM110" s="37"/>
      <c r="AN110" s="37"/>
      <c r="AO110" s="37"/>
      <c r="AP110" s="207"/>
      <c r="AR110" s="37"/>
      <c r="AS110" s="37"/>
      <c r="AT110" s="37"/>
      <c r="AU110" s="37"/>
      <c r="AV110" s="37"/>
      <c r="AW110" s="37"/>
      <c r="AX110" s="37"/>
      <c r="AY110" s="37"/>
      <c r="AZ110" s="37"/>
      <c r="BA110" s="64"/>
    </row>
    <row r="111" spans="1:53">
      <c r="A111" s="231">
        <v>3352</v>
      </c>
      <c r="B111" s="4">
        <v>103444</v>
      </c>
      <c r="C111" s="4" t="s">
        <v>684</v>
      </c>
      <c r="D111" s="4" t="s">
        <v>685</v>
      </c>
      <c r="E111" s="213" t="s">
        <v>5</v>
      </c>
      <c r="F111" s="248" t="s">
        <v>411</v>
      </c>
      <c r="G111" s="37"/>
      <c r="H111" s="272">
        <f>_xlfn.IFNA(VLOOKUP(A111,ISB!$A$4:$BY$454,67,FALSE),0)</f>
        <v>1025584.8460053614</v>
      </c>
      <c r="I111" s="272">
        <f>_xlfn.IFNA(VLOOKUP(A111,ISB!$A$4:$BY$454,72,FALSE),0)</f>
        <v>-4663.0200000000004</v>
      </c>
      <c r="J111" s="273">
        <f>-_xlfn.IFNA(VLOOKUP(A111,ISB!$A$4:$BY$454,76,FALSE),0)</f>
        <v>-7207.9606000000003</v>
      </c>
      <c r="K111" s="273">
        <f>_xlfn.IFNA(VLOOKUP(A111,ISB!$A$4:$BY$454,77,FALSE),0)</f>
        <v>1013713.8654053614</v>
      </c>
      <c r="L111" s="273">
        <f>_xlfn.IFNA(VLOOKUP(A111,'Post 16'!A:AC,13,FALSE),0)+(_xlfn.IFNA(VLOOKUP(A111,'Post 16'!A:AC,25,FALSE),0))</f>
        <v>0</v>
      </c>
      <c r="M111" s="273">
        <f>VLOOKUP(A111,HN!A:P,16,FALSE)</f>
        <v>0</v>
      </c>
      <c r="N111" s="273">
        <f>VLOOKUP(A111,HN!A:T,20,FALSE)</f>
        <v>0</v>
      </c>
      <c r="O111" s="273">
        <f>VLOOKUP(A111,EY!A:O,15,FALSE)</f>
        <v>82282.7</v>
      </c>
      <c r="P111" s="273">
        <f>-VLOOKUP(A111,Adjustments!A:M,11,FALSE)</f>
        <v>-5139.75</v>
      </c>
      <c r="Q111" s="273"/>
      <c r="R111" s="273"/>
      <c r="S111" s="273">
        <f t="shared" si="15"/>
        <v>1090856.8154053614</v>
      </c>
      <c r="T111" s="37"/>
      <c r="U111" s="37">
        <v>90051.863783780122</v>
      </c>
      <c r="V111" s="37">
        <v>90051.863783780122</v>
      </c>
      <c r="W111" s="37">
        <v>90051.863783780122</v>
      </c>
      <c r="X111" s="37">
        <v>91189.02</v>
      </c>
      <c r="Y111" s="37">
        <v>91189.03</v>
      </c>
      <c r="Z111" s="37">
        <f t="shared" si="19"/>
        <v>91189.02550675263</v>
      </c>
      <c r="AA111" s="37">
        <f t="shared" si="18"/>
        <v>91189.02</v>
      </c>
      <c r="AB111" s="37">
        <f t="shared" si="18"/>
        <v>91189.02</v>
      </c>
      <c r="AC111" s="37">
        <f t="shared" si="18"/>
        <v>91189.02</v>
      </c>
      <c r="AD111" s="37">
        <f t="shared" si="18"/>
        <v>91189.02</v>
      </c>
      <c r="AE111" s="37">
        <f t="shared" si="18"/>
        <v>91189.02</v>
      </c>
      <c r="AF111" s="37">
        <f t="shared" si="12"/>
        <v>91189.048547268263</v>
      </c>
      <c r="AG111" s="37">
        <f t="shared" si="13"/>
        <v>1090856.8154053614</v>
      </c>
      <c r="AH111" s="37" t="b">
        <f t="shared" si="14"/>
        <v>1</v>
      </c>
      <c r="AI111" s="37"/>
      <c r="AJ111" s="37"/>
      <c r="AK111" s="37"/>
      <c r="AL111" s="37"/>
      <c r="AM111" s="37"/>
      <c r="AN111" s="37"/>
      <c r="AO111" s="37"/>
      <c r="AP111" s="207"/>
      <c r="AR111" s="37"/>
      <c r="AS111" s="37"/>
      <c r="AT111" s="37"/>
      <c r="AU111" s="37"/>
      <c r="AV111" s="37"/>
      <c r="AW111" s="37"/>
      <c r="AX111" s="37"/>
      <c r="AY111" s="37"/>
      <c r="AZ111" s="37"/>
      <c r="BA111" s="64"/>
    </row>
    <row r="112" spans="1:53">
      <c r="A112" s="231">
        <v>2005</v>
      </c>
      <c r="B112" s="4">
        <v>134098</v>
      </c>
      <c r="C112" s="4" t="s">
        <v>690</v>
      </c>
      <c r="D112" s="4" t="s">
        <v>691</v>
      </c>
      <c r="E112" s="213" t="s">
        <v>5</v>
      </c>
      <c r="F112" s="248" t="s">
        <v>411</v>
      </c>
      <c r="G112" s="37"/>
      <c r="H112" s="272">
        <f>_xlfn.IFNA(VLOOKUP(A112,ISB!$A$4:$BY$454,67,FALSE),0)</f>
        <v>2950729.6639999999</v>
      </c>
      <c r="I112" s="272">
        <f>_xlfn.IFNA(VLOOKUP(A112,ISB!$A$4:$BY$454,72,FALSE),0)</f>
        <v>-15743.960000000001</v>
      </c>
      <c r="J112" s="273">
        <f>-_xlfn.IFNA(VLOOKUP(A112,ISB!$A$4:$BY$454,76,FALSE),0)</f>
        <v>-55649.663999999997</v>
      </c>
      <c r="K112" s="273">
        <f>_xlfn.IFNA(VLOOKUP(A112,ISB!$A$4:$BY$454,77,FALSE),0)</f>
        <v>2879336.04</v>
      </c>
      <c r="L112" s="273">
        <f>_xlfn.IFNA(VLOOKUP(A112,'Post 16'!A:AC,13,FALSE),0)+(_xlfn.IFNA(VLOOKUP(A112,'Post 16'!A:AC,25,FALSE),0))</f>
        <v>0</v>
      </c>
      <c r="M112" s="273">
        <f>VLOOKUP(A112,HN!A:P,16,FALSE)</f>
        <v>0</v>
      </c>
      <c r="N112" s="273">
        <f>VLOOKUP(A112,HN!A:T,20,FALSE)</f>
        <v>51161.75584615385</v>
      </c>
      <c r="O112" s="273">
        <f>VLOOKUP(A112,EY!A:O,15,FALSE)</f>
        <v>94055.688000000009</v>
      </c>
      <c r="P112" s="273">
        <f>-VLOOKUP(A112,Adjustments!A:M,11,FALSE)</f>
        <v>-18745.650000000001</v>
      </c>
      <c r="Q112" s="273"/>
      <c r="R112" s="273"/>
      <c r="S112" s="273">
        <f t="shared" si="15"/>
        <v>3005807.8338461542</v>
      </c>
      <c r="T112" s="37"/>
      <c r="U112" s="37">
        <v>248428.7285526316</v>
      </c>
      <c r="V112" s="37">
        <v>248428.7285526316</v>
      </c>
      <c r="W112" s="37">
        <v>248428.7285526316</v>
      </c>
      <c r="X112" s="37">
        <v>262538.3486153846</v>
      </c>
      <c r="Y112" s="37">
        <v>249747.91</v>
      </c>
      <c r="Z112" s="37">
        <f t="shared" si="19"/>
        <v>249747.91244660935</v>
      </c>
      <c r="AA112" s="37">
        <f t="shared" si="18"/>
        <v>249747.91</v>
      </c>
      <c r="AB112" s="37">
        <f t="shared" si="18"/>
        <v>249747.91</v>
      </c>
      <c r="AC112" s="37">
        <f t="shared" si="18"/>
        <v>249747.91</v>
      </c>
      <c r="AD112" s="37">
        <f t="shared" si="18"/>
        <v>249747.91</v>
      </c>
      <c r="AE112" s="37">
        <f t="shared" si="18"/>
        <v>249747.91</v>
      </c>
      <c r="AF112" s="37">
        <f t="shared" si="12"/>
        <v>249747.92712626513</v>
      </c>
      <c r="AG112" s="37">
        <f t="shared" si="13"/>
        <v>3005807.8338461542</v>
      </c>
      <c r="AH112" s="37" t="b">
        <f t="shared" si="14"/>
        <v>1</v>
      </c>
      <c r="AI112" s="37"/>
      <c r="AJ112" s="37"/>
      <c r="AK112" s="37"/>
      <c r="AL112" s="37"/>
      <c r="AM112" s="37"/>
      <c r="AN112" s="37"/>
      <c r="AO112" s="37"/>
      <c r="AP112" s="207"/>
      <c r="AR112" s="37"/>
      <c r="AS112" s="37"/>
      <c r="AT112" s="37"/>
      <c r="AU112" s="37"/>
      <c r="AV112" s="37"/>
      <c r="AW112" s="37"/>
      <c r="AX112" s="37"/>
      <c r="AY112" s="37"/>
      <c r="AZ112" s="37"/>
      <c r="BA112" s="64"/>
    </row>
    <row r="113" spans="1:53">
      <c r="A113" s="231">
        <v>1016</v>
      </c>
      <c r="B113" s="4">
        <v>103129</v>
      </c>
      <c r="C113" s="4" t="s">
        <v>693</v>
      </c>
      <c r="D113" s="4" t="s">
        <v>694</v>
      </c>
      <c r="E113" s="213" t="s">
        <v>180</v>
      </c>
      <c r="F113" s="248" t="s">
        <v>411</v>
      </c>
      <c r="G113" s="37"/>
      <c r="H113" s="272">
        <f>_xlfn.IFNA(VLOOKUP(A113,ISB!$A$4:$BY$454,67,FALSE),0)</f>
        <v>0</v>
      </c>
      <c r="I113" s="272">
        <f>_xlfn.IFNA(VLOOKUP(A113,ISB!$A$4:$BY$454,72,FALSE),0)</f>
        <v>0</v>
      </c>
      <c r="J113" s="273">
        <f>-_xlfn.IFNA(VLOOKUP(A113,ISB!$A$4:$BY$454,76,FALSE),0)</f>
        <v>0</v>
      </c>
      <c r="K113" s="273">
        <f>_xlfn.IFNA(VLOOKUP(A113,ISB!$A$4:$BY$454,77,FALSE),0)</f>
        <v>0</v>
      </c>
      <c r="L113" s="273">
        <f>_xlfn.IFNA(VLOOKUP(A113,'Post 16'!A:AC,13,FALSE),0)+(_xlfn.IFNA(VLOOKUP(A113,'Post 16'!A:AC,25,FALSE),0))</f>
        <v>0</v>
      </c>
      <c r="M113" s="273">
        <f>VLOOKUP(A113,HN!A:P,16,FALSE)</f>
        <v>0</v>
      </c>
      <c r="N113" s="273">
        <f>VLOOKUP(A113,HN!A:T,20,FALSE)</f>
        <v>0</v>
      </c>
      <c r="O113" s="273">
        <f>VLOOKUP(A113,EY!A:O,15,FALSE)</f>
        <v>607465.2566666666</v>
      </c>
      <c r="P113" s="273">
        <f>-VLOOKUP(A113,Adjustments!A:M,11,FALSE)</f>
        <v>-3291.75</v>
      </c>
      <c r="Q113" s="273"/>
      <c r="R113" s="273"/>
      <c r="S113" s="273">
        <f t="shared" si="15"/>
        <v>604173.5066666666</v>
      </c>
      <c r="T113" s="37"/>
      <c r="U113" s="37">
        <v>42375.594726667878</v>
      </c>
      <c r="V113" s="37">
        <v>42375.594726667878</v>
      </c>
      <c r="W113" s="37">
        <v>42375.594726667878</v>
      </c>
      <c r="X113" s="37">
        <v>53005.19</v>
      </c>
      <c r="Y113" s="37">
        <v>53005.19</v>
      </c>
      <c r="Z113" s="37">
        <f t="shared" si="19"/>
        <v>53005.191560832871</v>
      </c>
      <c r="AA113" s="37">
        <f t="shared" si="18"/>
        <v>53005.19</v>
      </c>
      <c r="AB113" s="37">
        <f t="shared" si="18"/>
        <v>53005.19</v>
      </c>
      <c r="AC113" s="37">
        <f t="shared" si="18"/>
        <v>53005.19</v>
      </c>
      <c r="AD113" s="37">
        <f t="shared" si="18"/>
        <v>53005.19</v>
      </c>
      <c r="AE113" s="37">
        <f t="shared" si="18"/>
        <v>53005.19</v>
      </c>
      <c r="AF113" s="37">
        <f t="shared" si="12"/>
        <v>53005.200925830053</v>
      </c>
      <c r="AG113" s="37">
        <f t="shared" si="13"/>
        <v>604173.5066666666</v>
      </c>
      <c r="AH113" s="37" t="b">
        <f t="shared" si="14"/>
        <v>1</v>
      </c>
      <c r="AI113" s="37"/>
      <c r="AJ113" s="37"/>
      <c r="AK113" s="37"/>
      <c r="AL113" s="37"/>
      <c r="AM113" s="37"/>
      <c r="AN113" s="37"/>
      <c r="AO113" s="37"/>
      <c r="AP113" s="207"/>
      <c r="AR113" s="37"/>
      <c r="AS113" s="37"/>
      <c r="AT113" s="37"/>
      <c r="AU113" s="37"/>
      <c r="AV113" s="37"/>
      <c r="AW113" s="37"/>
      <c r="AX113" s="37"/>
      <c r="AY113" s="37"/>
      <c r="AZ113" s="37"/>
      <c r="BA113" s="64"/>
    </row>
    <row r="114" spans="1:53">
      <c r="A114" s="231">
        <v>2115</v>
      </c>
      <c r="B114" s="4">
        <v>103221</v>
      </c>
      <c r="C114" s="4" t="s">
        <v>696</v>
      </c>
      <c r="D114" s="4" t="s">
        <v>697</v>
      </c>
      <c r="E114" s="213" t="s">
        <v>5</v>
      </c>
      <c r="F114" s="248" t="s">
        <v>411</v>
      </c>
      <c r="G114" s="37"/>
      <c r="H114" s="272">
        <f>_xlfn.IFNA(VLOOKUP(A114,ISB!$A$4:$BY$454,67,FALSE),0)</f>
        <v>1667287.4365330394</v>
      </c>
      <c r="I114" s="272">
        <f>_xlfn.IFNA(VLOOKUP(A114,ISB!$A$4:$BY$454,72,FALSE),0)</f>
        <v>-7495.93</v>
      </c>
      <c r="J114" s="273">
        <f>-_xlfn.IFNA(VLOOKUP(A114,ISB!$A$4:$BY$454,76,FALSE),0)</f>
        <v>-41869.747199999998</v>
      </c>
      <c r="K114" s="273">
        <f>_xlfn.IFNA(VLOOKUP(A114,ISB!$A$4:$BY$454,77,FALSE),0)</f>
        <v>1617921.7593330394</v>
      </c>
      <c r="L114" s="273">
        <f>_xlfn.IFNA(VLOOKUP(A114,'Post 16'!A:AC,13,FALSE),0)+(_xlfn.IFNA(VLOOKUP(A114,'Post 16'!A:AC,25,FALSE),0))</f>
        <v>0</v>
      </c>
      <c r="M114" s="273">
        <f>VLOOKUP(A114,HN!A:P,16,FALSE)</f>
        <v>0</v>
      </c>
      <c r="N114" s="273">
        <f>VLOOKUP(A114,HN!A:T,20,FALSE)</f>
        <v>0</v>
      </c>
      <c r="O114" s="273">
        <f>VLOOKUP(A114,EY!A:O,15,FALSE)</f>
        <v>141099.59999999995</v>
      </c>
      <c r="P114" s="273">
        <f>-VLOOKUP(A114,Adjustments!A:M,11,FALSE)</f>
        <v>-5139.75</v>
      </c>
      <c r="Q114" s="273"/>
      <c r="R114" s="273"/>
      <c r="S114" s="273">
        <f t="shared" si="15"/>
        <v>1753881.6093330393</v>
      </c>
      <c r="T114" s="37"/>
      <c r="U114" s="37">
        <v>146108.40216664216</v>
      </c>
      <c r="V114" s="37">
        <v>146108.40216664216</v>
      </c>
      <c r="W114" s="37">
        <v>146108.40216664216</v>
      </c>
      <c r="X114" s="37">
        <v>146172.93</v>
      </c>
      <c r="Y114" s="37">
        <v>146172.93</v>
      </c>
      <c r="Z114" s="37">
        <f t="shared" si="19"/>
        <v>146172.9341041391</v>
      </c>
      <c r="AA114" s="37">
        <f t="shared" si="18"/>
        <v>146172.93</v>
      </c>
      <c r="AB114" s="37">
        <f t="shared" si="18"/>
        <v>146172.93</v>
      </c>
      <c r="AC114" s="37">
        <f t="shared" si="18"/>
        <v>146172.93</v>
      </c>
      <c r="AD114" s="37">
        <f t="shared" si="18"/>
        <v>146172.93</v>
      </c>
      <c r="AE114" s="37">
        <f t="shared" si="18"/>
        <v>146172.93</v>
      </c>
      <c r="AF114" s="37">
        <f t="shared" si="12"/>
        <v>146172.95872897399</v>
      </c>
      <c r="AG114" s="37">
        <f t="shared" si="13"/>
        <v>1753881.6093330393</v>
      </c>
      <c r="AH114" s="37" t="b">
        <f t="shared" si="14"/>
        <v>1</v>
      </c>
      <c r="AI114" s="37"/>
      <c r="AJ114" s="37"/>
      <c r="AK114" s="37"/>
      <c r="AL114" s="37"/>
      <c r="AM114" s="37"/>
      <c r="AN114" s="37"/>
      <c r="AO114" s="37"/>
      <c r="AP114" s="207"/>
      <c r="AR114" s="37"/>
      <c r="AS114" s="37"/>
      <c r="AT114" s="37"/>
      <c r="AU114" s="37"/>
      <c r="AV114" s="37"/>
      <c r="AW114" s="37"/>
      <c r="AX114" s="37"/>
      <c r="AY114" s="37"/>
      <c r="AZ114" s="37"/>
      <c r="BA114" s="64"/>
    </row>
    <row r="115" spans="1:53">
      <c r="A115" s="231">
        <v>2441</v>
      </c>
      <c r="B115" s="4">
        <v>103368</v>
      </c>
      <c r="C115" s="4" t="s">
        <v>699</v>
      </c>
      <c r="D115" s="4" t="s">
        <v>700</v>
      </c>
      <c r="E115" s="213" t="s">
        <v>5</v>
      </c>
      <c r="F115" s="248" t="s">
        <v>411</v>
      </c>
      <c r="G115" s="37"/>
      <c r="H115" s="272">
        <f>_xlfn.IFNA(VLOOKUP(A115,ISB!$A$4:$BY$454,67,FALSE),0)</f>
        <v>2014176.8443588982</v>
      </c>
      <c r="I115" s="272">
        <f>_xlfn.IFNA(VLOOKUP(A115,ISB!$A$4:$BY$454,72,FALSE),0)</f>
        <v>-8599.01</v>
      </c>
      <c r="J115" s="273">
        <f>-_xlfn.IFNA(VLOOKUP(A115,ISB!$A$4:$BY$454,76,FALSE),0)</f>
        <v>-14333.984700000001</v>
      </c>
      <c r="K115" s="273">
        <f>_xlfn.IFNA(VLOOKUP(A115,ISB!$A$4:$BY$454,77,FALSE),0)</f>
        <v>1991243.8496588983</v>
      </c>
      <c r="L115" s="273">
        <f>_xlfn.IFNA(VLOOKUP(A115,'Post 16'!A:AC,13,FALSE),0)+(_xlfn.IFNA(VLOOKUP(A115,'Post 16'!A:AC,25,FALSE),0))</f>
        <v>0</v>
      </c>
      <c r="M115" s="273">
        <f>VLOOKUP(A115,HN!A:P,16,FALSE)</f>
        <v>0</v>
      </c>
      <c r="N115" s="273">
        <f>VLOOKUP(A115,HN!A:T,20,FALSE)</f>
        <v>0</v>
      </c>
      <c r="O115" s="273">
        <f>VLOOKUP(A115,EY!A:O,15,FALSE)</f>
        <v>74039.3</v>
      </c>
      <c r="P115" s="273">
        <f>-VLOOKUP(A115,Adjustments!A:M,11,FALSE)</f>
        <v>-9471</v>
      </c>
      <c r="Q115" s="273"/>
      <c r="R115" s="273"/>
      <c r="S115" s="273">
        <f t="shared" si="15"/>
        <v>2055812.1496588984</v>
      </c>
      <c r="T115" s="37"/>
      <c r="U115" s="37">
        <v>170924.34528407487</v>
      </c>
      <c r="V115" s="37">
        <v>170924.34528407487</v>
      </c>
      <c r="W115" s="37">
        <v>170924.34528407487</v>
      </c>
      <c r="X115" s="37">
        <v>171448.79</v>
      </c>
      <c r="Y115" s="37">
        <v>171448.79</v>
      </c>
      <c r="Z115" s="37">
        <f t="shared" si="19"/>
        <v>171448.79047583422</v>
      </c>
      <c r="AA115" s="37">
        <f t="shared" si="18"/>
        <v>171448.79</v>
      </c>
      <c r="AB115" s="37">
        <f t="shared" si="18"/>
        <v>171448.79</v>
      </c>
      <c r="AC115" s="37">
        <f t="shared" si="18"/>
        <v>171448.79</v>
      </c>
      <c r="AD115" s="37">
        <f t="shared" si="18"/>
        <v>171448.79</v>
      </c>
      <c r="AE115" s="37">
        <f t="shared" si="18"/>
        <v>171448.79</v>
      </c>
      <c r="AF115" s="37">
        <f t="shared" si="12"/>
        <v>171448.79333083937</v>
      </c>
      <c r="AG115" s="37">
        <f t="shared" si="13"/>
        <v>2055812.1496588984</v>
      </c>
      <c r="AH115" s="37" t="b">
        <f t="shared" si="14"/>
        <v>1</v>
      </c>
      <c r="AI115" s="37"/>
      <c r="AJ115" s="37"/>
      <c r="AK115" s="37"/>
      <c r="AL115" s="37"/>
      <c r="AM115" s="37"/>
      <c r="AN115" s="37"/>
      <c r="AO115" s="37"/>
      <c r="AP115" s="207"/>
      <c r="AR115" s="37"/>
      <c r="AS115" s="37"/>
      <c r="AT115" s="37"/>
      <c r="AU115" s="37"/>
      <c r="AV115" s="37"/>
      <c r="AW115" s="37"/>
      <c r="AX115" s="37"/>
      <c r="AY115" s="37"/>
      <c r="AZ115" s="37"/>
      <c r="BA115" s="64"/>
    </row>
    <row r="116" spans="1:53">
      <c r="A116" s="231">
        <v>2321</v>
      </c>
      <c r="B116" s="4">
        <v>103339</v>
      </c>
      <c r="C116" s="4" t="s">
        <v>702</v>
      </c>
      <c r="D116" s="4" t="s">
        <v>863</v>
      </c>
      <c r="E116" s="213" t="s">
        <v>5</v>
      </c>
      <c r="F116" s="248" t="s">
        <v>411</v>
      </c>
      <c r="G116" s="37"/>
      <c r="H116" s="272">
        <f>_xlfn.IFNA(VLOOKUP(A116,ISB!$A$4:$BY$454,67,FALSE),0)</f>
        <v>1162561.3975010291</v>
      </c>
      <c r="I116" s="272">
        <f>_xlfn.IFNA(VLOOKUP(A116,ISB!$A$4:$BY$454,72,FALSE),0)</f>
        <v>-4612.88</v>
      </c>
      <c r="J116" s="273">
        <f>-_xlfn.IFNA(VLOOKUP(A116,ISB!$A$4:$BY$454,76,FALSE),0)</f>
        <v>-15754.468000000001</v>
      </c>
      <c r="K116" s="273">
        <f>_xlfn.IFNA(VLOOKUP(A116,ISB!$A$4:$BY$454,77,FALSE),0)</f>
        <v>1142194.0495010291</v>
      </c>
      <c r="L116" s="273">
        <f>_xlfn.IFNA(VLOOKUP(A116,'Post 16'!A:AC,13,FALSE),0)+(_xlfn.IFNA(VLOOKUP(A116,'Post 16'!A:AC,25,FALSE),0))</f>
        <v>0</v>
      </c>
      <c r="M116" s="273">
        <f>VLOOKUP(A116,HN!A:P,16,FALSE)</f>
        <v>0</v>
      </c>
      <c r="N116" s="273">
        <f>VLOOKUP(A116,HN!A:T,20,FALSE)</f>
        <v>0</v>
      </c>
      <c r="O116" s="273">
        <f>VLOOKUP(A116,EY!A:O,15,FALSE)</f>
        <v>0</v>
      </c>
      <c r="P116" s="273">
        <f>-VLOOKUP(A116,Adjustments!A:M,11,FALSE)</f>
        <v>-5139.75</v>
      </c>
      <c r="Q116" s="273"/>
      <c r="R116" s="273"/>
      <c r="S116" s="273">
        <f t="shared" si="15"/>
        <v>1137054.2995010291</v>
      </c>
      <c r="T116" s="37"/>
      <c r="U116" s="37">
        <v>94754.52495841909</v>
      </c>
      <c r="V116" s="37">
        <v>94754.52495841909</v>
      </c>
      <c r="W116" s="37">
        <v>94754.52495841909</v>
      </c>
      <c r="X116" s="37">
        <v>94754.52</v>
      </c>
      <c r="Y116" s="37">
        <v>94754.53</v>
      </c>
      <c r="Z116" s="37">
        <f t="shared" si="19"/>
        <v>94754.525578221481</v>
      </c>
      <c r="AA116" s="37">
        <f t="shared" si="18"/>
        <v>94754.52</v>
      </c>
      <c r="AB116" s="37">
        <f t="shared" si="18"/>
        <v>94754.52</v>
      </c>
      <c r="AC116" s="37">
        <f t="shared" si="18"/>
        <v>94754.52</v>
      </c>
      <c r="AD116" s="37">
        <f t="shared" si="18"/>
        <v>94754.52</v>
      </c>
      <c r="AE116" s="37">
        <f t="shared" si="18"/>
        <v>94754.52</v>
      </c>
      <c r="AF116" s="37">
        <f t="shared" si="12"/>
        <v>94754.549047550187</v>
      </c>
      <c r="AG116" s="37">
        <f t="shared" si="13"/>
        <v>1137054.2995010291</v>
      </c>
      <c r="AH116" s="37" t="b">
        <f t="shared" si="14"/>
        <v>1</v>
      </c>
      <c r="AI116" s="37"/>
      <c r="AJ116" s="37"/>
      <c r="AK116" s="37"/>
      <c r="AL116" s="37"/>
      <c r="AM116" s="37"/>
      <c r="AN116" s="37"/>
      <c r="AO116" s="37"/>
      <c r="AP116" s="207"/>
      <c r="AR116" s="37"/>
      <c r="AS116" s="37"/>
      <c r="AT116" s="37"/>
      <c r="AU116" s="37"/>
      <c r="AV116" s="37"/>
      <c r="AW116" s="37"/>
      <c r="AX116" s="37"/>
      <c r="AY116" s="37"/>
      <c r="AZ116" s="37"/>
      <c r="BA116" s="64"/>
    </row>
    <row r="117" spans="1:53">
      <c r="A117" s="231">
        <v>1024</v>
      </c>
      <c r="B117" s="4">
        <v>103137</v>
      </c>
      <c r="C117" s="4" t="s">
        <v>705</v>
      </c>
      <c r="D117" s="4" t="s">
        <v>706</v>
      </c>
      <c r="E117" s="213" t="s">
        <v>180</v>
      </c>
      <c r="F117" s="248" t="s">
        <v>411</v>
      </c>
      <c r="G117" s="37"/>
      <c r="H117" s="272">
        <f>_xlfn.IFNA(VLOOKUP(A117,ISB!$A$4:$BY$454,67,FALSE),0)</f>
        <v>0</v>
      </c>
      <c r="I117" s="272">
        <f>_xlfn.IFNA(VLOOKUP(A117,ISB!$A$4:$BY$454,72,FALSE),0)</f>
        <v>0</v>
      </c>
      <c r="J117" s="273">
        <f>-_xlfn.IFNA(VLOOKUP(A117,ISB!$A$4:$BY$454,76,FALSE),0)</f>
        <v>0</v>
      </c>
      <c r="K117" s="273">
        <f>_xlfn.IFNA(VLOOKUP(A117,ISB!$A$4:$BY$454,77,FALSE),0)</f>
        <v>0</v>
      </c>
      <c r="L117" s="273">
        <f>_xlfn.IFNA(VLOOKUP(A117,'Post 16'!A:AC,13,FALSE),0)+(_xlfn.IFNA(VLOOKUP(A117,'Post 16'!A:AC,25,FALSE),0))</f>
        <v>0</v>
      </c>
      <c r="M117" s="273">
        <f>VLOOKUP(A117,HN!A:P,16,FALSE)</f>
        <v>0</v>
      </c>
      <c r="N117" s="273">
        <f>VLOOKUP(A117,HN!A:T,20,FALSE)</f>
        <v>0</v>
      </c>
      <c r="O117" s="273">
        <f>VLOOKUP(A117,EY!A:O,15,FALSE)</f>
        <v>632647.39999999991</v>
      </c>
      <c r="P117" s="273">
        <f>-VLOOKUP(A117,Adjustments!A:M,11,FALSE)</f>
        <v>-3291.75</v>
      </c>
      <c r="Q117" s="273"/>
      <c r="R117" s="273"/>
      <c r="S117" s="273">
        <f t="shared" si="15"/>
        <v>629355.64999999991</v>
      </c>
      <c r="T117" s="37"/>
      <c r="U117" s="37">
        <v>44648.186815372494</v>
      </c>
      <c r="V117" s="37">
        <v>44648.186815372494</v>
      </c>
      <c r="W117" s="37">
        <v>44648.186815372494</v>
      </c>
      <c r="X117" s="37">
        <v>55045.68</v>
      </c>
      <c r="Y117" s="37">
        <v>55045.68</v>
      </c>
      <c r="Z117" s="37">
        <f t="shared" si="19"/>
        <v>55045.676194235304</v>
      </c>
      <c r="AA117" s="37">
        <f t="shared" si="18"/>
        <v>55045.68</v>
      </c>
      <c r="AB117" s="37">
        <f t="shared" si="18"/>
        <v>55045.68</v>
      </c>
      <c r="AC117" s="37">
        <f t="shared" si="18"/>
        <v>55045.68</v>
      </c>
      <c r="AD117" s="37">
        <f t="shared" si="18"/>
        <v>55045.68</v>
      </c>
      <c r="AE117" s="37">
        <f t="shared" si="18"/>
        <v>55045.68</v>
      </c>
      <c r="AF117" s="37">
        <f t="shared" si="12"/>
        <v>55045.653359647142</v>
      </c>
      <c r="AG117" s="37">
        <f t="shared" si="13"/>
        <v>629355.64999999991</v>
      </c>
      <c r="AH117" s="37" t="b">
        <f t="shared" si="14"/>
        <v>1</v>
      </c>
      <c r="AI117" s="37"/>
      <c r="AJ117" s="37"/>
      <c r="AK117" s="37"/>
      <c r="AL117" s="37"/>
      <c r="AM117" s="37"/>
      <c r="AN117" s="37"/>
      <c r="AO117" s="37"/>
      <c r="AP117" s="207"/>
      <c r="AR117" s="37"/>
      <c r="AS117" s="37"/>
      <c r="AT117" s="37"/>
      <c r="AU117" s="37"/>
      <c r="AV117" s="37"/>
      <c r="AW117" s="37"/>
      <c r="AX117" s="37"/>
      <c r="AY117" s="37"/>
      <c r="AZ117" s="37"/>
      <c r="BA117" s="64"/>
    </row>
    <row r="118" spans="1:53">
      <c r="A118" s="231">
        <v>7062</v>
      </c>
      <c r="B118" s="4">
        <v>103632</v>
      </c>
      <c r="C118" s="4" t="s">
        <v>708</v>
      </c>
      <c r="D118" s="4" t="s">
        <v>709</v>
      </c>
      <c r="E118" s="213" t="s">
        <v>1093</v>
      </c>
      <c r="F118" s="248" t="s">
        <v>411</v>
      </c>
      <c r="G118" s="37"/>
      <c r="H118" s="272">
        <f>_xlfn.IFNA(VLOOKUP(A118,ISB!$A$4:$BY$454,67,FALSE),0)</f>
        <v>0</v>
      </c>
      <c r="I118" s="272">
        <f>_xlfn.IFNA(VLOOKUP(A118,ISB!$A$4:$BY$454,72,FALSE),0)</f>
        <v>0</v>
      </c>
      <c r="J118" s="273">
        <f>-_xlfn.IFNA(VLOOKUP(A118,ISB!$A$4:$BY$454,76,FALSE),0)</f>
        <v>0</v>
      </c>
      <c r="K118" s="273">
        <f>_xlfn.IFNA(VLOOKUP(A118,ISB!$A$4:$BY$454,77,FALSE),0)</f>
        <v>0</v>
      </c>
      <c r="L118" s="273">
        <f>_xlfn.IFNA(VLOOKUP(A118,'Post 16'!A:AC,13,FALSE),0)+(_xlfn.IFNA(VLOOKUP(A118,'Post 16'!A:AC,25,FALSE),0))</f>
        <v>0</v>
      </c>
      <c r="M118" s="273">
        <f>VLOOKUP(A118,HN!A:P,16,FALSE)</f>
        <v>4152841.6647484014</v>
      </c>
      <c r="N118" s="273">
        <f>VLOOKUP(A118,HN!A:T,20,FALSE)</f>
        <v>0</v>
      </c>
      <c r="O118" s="273">
        <f>VLOOKUP(A118,EY!A:O,15,FALSE)</f>
        <v>0</v>
      </c>
      <c r="P118" s="273">
        <f>-VLOOKUP(A118,Adjustments!A:M,11,FALSE)</f>
        <v>-3291.75</v>
      </c>
      <c r="Q118" s="273"/>
      <c r="R118" s="273"/>
      <c r="S118" s="273">
        <f t="shared" si="15"/>
        <v>4149549.9147484014</v>
      </c>
      <c r="T118" s="37"/>
      <c r="U118" s="37">
        <v>345795.82622903347</v>
      </c>
      <c r="V118" s="37">
        <v>345795.82622903347</v>
      </c>
      <c r="W118" s="37">
        <v>345795.82622903347</v>
      </c>
      <c r="X118" s="37">
        <v>345795.83</v>
      </c>
      <c r="Y118" s="37">
        <v>345795.83</v>
      </c>
      <c r="Z118" s="37">
        <f t="shared" si="19"/>
        <v>345795.82575766265</v>
      </c>
      <c r="AA118" s="37">
        <f t="shared" si="18"/>
        <v>345795.83</v>
      </c>
      <c r="AB118" s="37">
        <f t="shared" si="18"/>
        <v>345795.83</v>
      </c>
      <c r="AC118" s="37">
        <f t="shared" si="18"/>
        <v>345795.83</v>
      </c>
      <c r="AD118" s="37">
        <f t="shared" si="18"/>
        <v>345795.83</v>
      </c>
      <c r="AE118" s="37">
        <f t="shared" si="18"/>
        <v>345795.83</v>
      </c>
      <c r="AF118" s="37">
        <f t="shared" si="12"/>
        <v>345795.80030363798</v>
      </c>
      <c r="AG118" s="37">
        <f t="shared" si="13"/>
        <v>4149549.9147484014</v>
      </c>
      <c r="AH118" s="37" t="b">
        <f t="shared" si="14"/>
        <v>1</v>
      </c>
      <c r="AI118" s="37"/>
      <c r="AJ118" s="37"/>
      <c r="AK118" s="37"/>
      <c r="AL118" s="37"/>
      <c r="AM118" s="37"/>
      <c r="AN118" s="37"/>
      <c r="AO118" s="37"/>
      <c r="AP118" s="207"/>
      <c r="AR118" s="37"/>
      <c r="AS118" s="37"/>
      <c r="AT118" s="37"/>
      <c r="AU118" s="37"/>
      <c r="AV118" s="37"/>
      <c r="AW118" s="37"/>
      <c r="AX118" s="37"/>
      <c r="AY118" s="37"/>
      <c r="AZ118" s="37"/>
      <c r="BA118" s="64"/>
    </row>
    <row r="119" spans="1:53">
      <c r="A119" s="231">
        <v>2004</v>
      </c>
      <c r="B119" s="4">
        <v>134094</v>
      </c>
      <c r="C119" s="4" t="s">
        <v>711</v>
      </c>
      <c r="D119" s="4" t="s">
        <v>712</v>
      </c>
      <c r="E119" s="213" t="s">
        <v>5</v>
      </c>
      <c r="F119" s="248" t="s">
        <v>411</v>
      </c>
      <c r="G119" s="37"/>
      <c r="H119" s="272">
        <f>_xlfn.IFNA(VLOOKUP(A119,ISB!$A$4:$BY$454,67,FALSE),0)</f>
        <v>1690009.5657375534</v>
      </c>
      <c r="I119" s="272">
        <f>_xlfn.IFNA(VLOOKUP(A119,ISB!$A$4:$BY$454,72,FALSE),0)</f>
        <v>-7821.84</v>
      </c>
      <c r="J119" s="273">
        <f>-_xlfn.IFNA(VLOOKUP(A119,ISB!$A$4:$BY$454,76,FALSE),0)</f>
        <v>-23631.702000000001</v>
      </c>
      <c r="K119" s="273">
        <f>_xlfn.IFNA(VLOOKUP(A119,ISB!$A$4:$BY$454,77,FALSE),0)</f>
        <v>1658556.0237375533</v>
      </c>
      <c r="L119" s="273">
        <f>_xlfn.IFNA(VLOOKUP(A119,'Post 16'!A:AC,13,FALSE),0)+(_xlfn.IFNA(VLOOKUP(A119,'Post 16'!A:AC,25,FALSE),0))</f>
        <v>0</v>
      </c>
      <c r="M119" s="273">
        <f>VLOOKUP(A119,HN!A:P,16,FALSE)</f>
        <v>0</v>
      </c>
      <c r="N119" s="273">
        <f>VLOOKUP(A119,HN!A:T,20,FALSE)</f>
        <v>0</v>
      </c>
      <c r="O119" s="273">
        <f>VLOOKUP(A119,EY!A:O,15,FALSE)</f>
        <v>68400.899999999994</v>
      </c>
      <c r="P119" s="273">
        <f>-VLOOKUP(A119,Adjustments!A:M,11,FALSE)</f>
        <v>-9471</v>
      </c>
      <c r="Q119" s="273"/>
      <c r="R119" s="273"/>
      <c r="S119" s="273">
        <f t="shared" si="15"/>
        <v>1717485.9237375532</v>
      </c>
      <c r="T119" s="37"/>
      <c r="U119" s="37">
        <v>141578.51586701834</v>
      </c>
      <c r="V119" s="37">
        <v>141578.51586701834</v>
      </c>
      <c r="W119" s="37">
        <v>141578.51586701834</v>
      </c>
      <c r="X119" s="37">
        <v>143638.93</v>
      </c>
      <c r="Y119" s="37">
        <v>143638.93</v>
      </c>
      <c r="Z119" s="37">
        <f t="shared" si="19"/>
        <v>143638.93076706227</v>
      </c>
      <c r="AA119" s="37">
        <f t="shared" si="18"/>
        <v>143638.93</v>
      </c>
      <c r="AB119" s="37">
        <f t="shared" si="18"/>
        <v>143638.93</v>
      </c>
      <c r="AC119" s="37">
        <f t="shared" si="18"/>
        <v>143638.93</v>
      </c>
      <c r="AD119" s="37">
        <f t="shared" si="18"/>
        <v>143638.93</v>
      </c>
      <c r="AE119" s="37">
        <f t="shared" si="18"/>
        <v>143638.93</v>
      </c>
      <c r="AF119" s="37">
        <f t="shared" si="12"/>
        <v>143638.93536943616</v>
      </c>
      <c r="AG119" s="37">
        <f t="shared" si="13"/>
        <v>1717485.9237375532</v>
      </c>
      <c r="AH119" s="37" t="b">
        <f t="shared" si="14"/>
        <v>1</v>
      </c>
      <c r="AI119" s="37"/>
      <c r="AJ119" s="37"/>
      <c r="AK119" s="37"/>
      <c r="AL119" s="37"/>
      <c r="AM119" s="37"/>
      <c r="AN119" s="37"/>
      <c r="AO119" s="37"/>
      <c r="AP119" s="207"/>
      <c r="AR119" s="37"/>
      <c r="AS119" s="37"/>
      <c r="AT119" s="37"/>
      <c r="AU119" s="37"/>
      <c r="AV119" s="37"/>
      <c r="AW119" s="37"/>
      <c r="AX119" s="37"/>
      <c r="AY119" s="37"/>
      <c r="AZ119" s="37"/>
      <c r="BA119" s="64"/>
    </row>
    <row r="120" spans="1:53">
      <c r="A120" s="231">
        <v>1012</v>
      </c>
      <c r="B120" s="4">
        <v>103126</v>
      </c>
      <c r="C120" s="4" t="s">
        <v>714</v>
      </c>
      <c r="D120" s="4" t="s">
        <v>715</v>
      </c>
      <c r="E120" s="213" t="s">
        <v>180</v>
      </c>
      <c r="F120" s="248" t="s">
        <v>411</v>
      </c>
      <c r="G120" s="37"/>
      <c r="H120" s="272">
        <f>_xlfn.IFNA(VLOOKUP(A120,ISB!$A$4:$BY$454,67,FALSE),0)</f>
        <v>0</v>
      </c>
      <c r="I120" s="272">
        <f>_xlfn.IFNA(VLOOKUP(A120,ISB!$A$4:$BY$454,72,FALSE),0)</f>
        <v>0</v>
      </c>
      <c r="J120" s="273">
        <f>-_xlfn.IFNA(VLOOKUP(A120,ISB!$A$4:$BY$454,76,FALSE),0)</f>
        <v>0</v>
      </c>
      <c r="K120" s="273">
        <f>_xlfn.IFNA(VLOOKUP(A120,ISB!$A$4:$BY$454,77,FALSE),0)</f>
        <v>0</v>
      </c>
      <c r="L120" s="273">
        <f>_xlfn.IFNA(VLOOKUP(A120,'Post 16'!A:AC,13,FALSE),0)+(_xlfn.IFNA(VLOOKUP(A120,'Post 16'!A:AC,25,FALSE),0))</f>
        <v>0</v>
      </c>
      <c r="M120" s="273">
        <f>VLOOKUP(A120,HN!A:P,16,FALSE)</f>
        <v>0</v>
      </c>
      <c r="N120" s="273">
        <f>VLOOKUP(A120,HN!A:T,20,FALSE)</f>
        <v>0</v>
      </c>
      <c r="O120" s="273">
        <f>VLOOKUP(A120,EY!A:O,15,FALSE)</f>
        <v>716486.90666666673</v>
      </c>
      <c r="P120" s="273">
        <f>-VLOOKUP(A120,Adjustments!A:M,11,FALSE)</f>
        <v>-3291.75</v>
      </c>
      <c r="Q120" s="273"/>
      <c r="R120" s="273"/>
      <c r="S120" s="273">
        <f t="shared" si="15"/>
        <v>713195.15666666673</v>
      </c>
      <c r="T120" s="37"/>
      <c r="U120" s="37">
        <v>49944.516937018372</v>
      </c>
      <c r="V120" s="37">
        <v>49944.516937018372</v>
      </c>
      <c r="W120" s="37">
        <v>49944.516937018372</v>
      </c>
      <c r="X120" s="37">
        <v>62595.73</v>
      </c>
      <c r="Y120" s="37">
        <v>62595.73</v>
      </c>
      <c r="Z120" s="37">
        <f t="shared" si="19"/>
        <v>62595.734481951455</v>
      </c>
      <c r="AA120" s="37">
        <f t="shared" si="18"/>
        <v>62595.74</v>
      </c>
      <c r="AB120" s="37">
        <f t="shared" si="18"/>
        <v>62595.74</v>
      </c>
      <c r="AC120" s="37">
        <f t="shared" si="18"/>
        <v>62595.74</v>
      </c>
      <c r="AD120" s="37">
        <f t="shared" si="18"/>
        <v>62595.74</v>
      </c>
      <c r="AE120" s="37">
        <f t="shared" si="18"/>
        <v>62595.74</v>
      </c>
      <c r="AF120" s="37">
        <f t="shared" si="12"/>
        <v>62595.711373660131</v>
      </c>
      <c r="AG120" s="37">
        <f t="shared" si="13"/>
        <v>713195.15666666673</v>
      </c>
      <c r="AH120" s="37" t="b">
        <f t="shared" si="14"/>
        <v>1</v>
      </c>
      <c r="AI120" s="37"/>
      <c r="AJ120" s="37"/>
      <c r="AK120" s="37"/>
      <c r="AL120" s="37"/>
      <c r="AM120" s="37"/>
      <c r="AN120" s="37"/>
      <c r="AO120" s="37"/>
      <c r="AP120" s="207"/>
      <c r="AR120" s="37"/>
      <c r="AS120" s="37"/>
      <c r="AT120" s="37"/>
      <c r="AU120" s="37"/>
      <c r="AV120" s="37"/>
      <c r="AW120" s="37"/>
      <c r="AX120" s="37"/>
      <c r="AY120" s="37"/>
      <c r="AZ120" s="37"/>
      <c r="BA120" s="64"/>
    </row>
    <row r="121" spans="1:53">
      <c r="A121" s="231">
        <v>3003</v>
      </c>
      <c r="B121" s="4">
        <v>103398</v>
      </c>
      <c r="C121" s="4" t="s">
        <v>717</v>
      </c>
      <c r="D121" s="4" t="s">
        <v>718</v>
      </c>
      <c r="E121" s="213" t="s">
        <v>5</v>
      </c>
      <c r="F121" s="248" t="s">
        <v>411</v>
      </c>
      <c r="G121" s="37"/>
      <c r="H121" s="272">
        <f>_xlfn.IFNA(VLOOKUP(A121,ISB!$A$4:$BY$454,67,FALSE),0)</f>
        <v>1047132.9278401084</v>
      </c>
      <c r="I121" s="272">
        <f>_xlfn.IFNA(VLOOKUP(A121,ISB!$A$4:$BY$454,72,FALSE),0)</f>
        <v>-5239.63</v>
      </c>
      <c r="J121" s="273">
        <f>-_xlfn.IFNA(VLOOKUP(A121,ISB!$A$4:$BY$454,76,FALSE),0)</f>
        <v>-49289.702400000002</v>
      </c>
      <c r="K121" s="273">
        <f>_xlfn.IFNA(VLOOKUP(A121,ISB!$A$4:$BY$454,77,FALSE),0)</f>
        <v>992603.59544010845</v>
      </c>
      <c r="L121" s="273">
        <f>_xlfn.IFNA(VLOOKUP(A121,'Post 16'!A:AC,13,FALSE),0)+(_xlfn.IFNA(VLOOKUP(A121,'Post 16'!A:AC,25,FALSE),0))</f>
        <v>0</v>
      </c>
      <c r="M121" s="273">
        <f>VLOOKUP(A121,HN!A:P,16,FALSE)</f>
        <v>0</v>
      </c>
      <c r="N121" s="273">
        <f>VLOOKUP(A121,HN!A:T,20,FALSE)</f>
        <v>0</v>
      </c>
      <c r="O121" s="273">
        <f>VLOOKUP(A121,EY!A:O,15,FALSE)</f>
        <v>0</v>
      </c>
      <c r="P121" s="273">
        <f>-VLOOKUP(A121,Adjustments!A:M,11,FALSE)</f>
        <v>-5139.75</v>
      </c>
      <c r="Q121" s="273"/>
      <c r="R121" s="273"/>
      <c r="S121" s="273">
        <f t="shared" si="15"/>
        <v>987463.84544010845</v>
      </c>
      <c r="T121" s="37"/>
      <c r="U121" s="37">
        <v>82288.653786675699</v>
      </c>
      <c r="V121" s="37">
        <v>82288.653786675699</v>
      </c>
      <c r="W121" s="37">
        <v>82288.653786675699</v>
      </c>
      <c r="X121" s="37">
        <v>82288.649999999994</v>
      </c>
      <c r="Y121" s="37">
        <v>82288.649999999994</v>
      </c>
      <c r="Z121" s="37">
        <f t="shared" si="19"/>
        <v>82288.654260010167</v>
      </c>
      <c r="AA121" s="37">
        <f t="shared" si="18"/>
        <v>82288.649999999994</v>
      </c>
      <c r="AB121" s="37">
        <f t="shared" si="18"/>
        <v>82288.649999999994</v>
      </c>
      <c r="AC121" s="37">
        <f t="shared" si="18"/>
        <v>82288.649999999994</v>
      </c>
      <c r="AD121" s="37">
        <f t="shared" si="18"/>
        <v>82288.649999999994</v>
      </c>
      <c r="AE121" s="37">
        <f t="shared" si="18"/>
        <v>82288.649999999994</v>
      </c>
      <c r="AF121" s="37">
        <f t="shared" si="12"/>
        <v>82288.679820071091</v>
      </c>
      <c r="AG121" s="37">
        <f t="shared" si="13"/>
        <v>987463.84544010845</v>
      </c>
      <c r="AH121" s="37" t="b">
        <f t="shared" si="14"/>
        <v>1</v>
      </c>
      <c r="AI121" s="37"/>
      <c r="AJ121" s="37"/>
      <c r="AK121" s="37"/>
      <c r="AL121" s="37"/>
      <c r="AM121" s="37"/>
      <c r="AN121" s="37"/>
      <c r="AO121" s="37"/>
      <c r="AP121" s="207"/>
      <c r="AR121" s="37"/>
      <c r="AS121" s="37"/>
      <c r="AT121" s="37"/>
      <c r="AU121" s="37"/>
      <c r="AV121" s="37"/>
      <c r="AW121" s="37"/>
      <c r="AX121" s="37"/>
      <c r="AY121" s="37"/>
      <c r="AZ121" s="37"/>
      <c r="BA121" s="64"/>
    </row>
    <row r="122" spans="1:53">
      <c r="A122" s="231">
        <v>2457</v>
      </c>
      <c r="B122" s="4">
        <v>103384</v>
      </c>
      <c r="C122" s="4" t="s">
        <v>720</v>
      </c>
      <c r="D122" s="4" t="s">
        <v>721</v>
      </c>
      <c r="E122" s="213" t="s">
        <v>5</v>
      </c>
      <c r="F122" s="248" t="s">
        <v>411</v>
      </c>
      <c r="G122" s="37"/>
      <c r="H122" s="272">
        <f>_xlfn.IFNA(VLOOKUP(A122,ISB!$A$4:$BY$454,67,FALSE),0)</f>
        <v>2324674.9231535625</v>
      </c>
      <c r="I122" s="272">
        <f>_xlfn.IFNA(VLOOKUP(A122,ISB!$A$4:$BY$454,72,FALSE),0)</f>
        <v>-10328.84</v>
      </c>
      <c r="J122" s="273">
        <f>-_xlfn.IFNA(VLOOKUP(A122,ISB!$A$4:$BY$454,76,FALSE),0)</f>
        <v>-31799.808000000001</v>
      </c>
      <c r="K122" s="273">
        <f>_xlfn.IFNA(VLOOKUP(A122,ISB!$A$4:$BY$454,77,FALSE),0)</f>
        <v>2282546.2751535624</v>
      </c>
      <c r="L122" s="273">
        <f>_xlfn.IFNA(VLOOKUP(A122,'Post 16'!A:AC,13,FALSE),0)+(_xlfn.IFNA(VLOOKUP(A122,'Post 16'!A:AC,25,FALSE),0))</f>
        <v>0</v>
      </c>
      <c r="M122" s="273">
        <f>VLOOKUP(A122,HN!A:P,16,FALSE)</f>
        <v>0</v>
      </c>
      <c r="N122" s="273">
        <f>VLOOKUP(A122,HN!A:T,20,FALSE)</f>
        <v>39540.280586538465</v>
      </c>
      <c r="O122" s="273">
        <f>VLOOKUP(A122,EY!A:O,15,FALSE)</f>
        <v>130983.6</v>
      </c>
      <c r="P122" s="273">
        <f>-VLOOKUP(A122,Adjustments!A:M,11,FALSE)</f>
        <v>-9471</v>
      </c>
      <c r="Q122" s="273"/>
      <c r="R122" s="273"/>
      <c r="S122" s="273">
        <f t="shared" si="15"/>
        <v>2443599.1557401009</v>
      </c>
      <c r="T122" s="37"/>
      <c r="U122" s="37">
        <v>202734.74535009847</v>
      </c>
      <c r="V122" s="37">
        <v>202734.74535009847</v>
      </c>
      <c r="W122" s="37">
        <v>202734.74535009847</v>
      </c>
      <c r="X122" s="37">
        <v>212719.49352884616</v>
      </c>
      <c r="Y122" s="37">
        <v>202834.43</v>
      </c>
      <c r="Z122" s="37">
        <f t="shared" si="19"/>
        <v>202834.42827011991</v>
      </c>
      <c r="AA122" s="37">
        <f t="shared" si="18"/>
        <v>202834.43</v>
      </c>
      <c r="AB122" s="37">
        <f t="shared" si="18"/>
        <v>202834.43</v>
      </c>
      <c r="AC122" s="37">
        <f t="shared" si="18"/>
        <v>202834.43</v>
      </c>
      <c r="AD122" s="37">
        <f t="shared" si="18"/>
        <v>202834.43</v>
      </c>
      <c r="AE122" s="37">
        <f t="shared" si="18"/>
        <v>202834.43</v>
      </c>
      <c r="AF122" s="37">
        <f t="shared" si="12"/>
        <v>202834.41789083974</v>
      </c>
      <c r="AG122" s="37">
        <f t="shared" si="13"/>
        <v>2443599.1557401009</v>
      </c>
      <c r="AH122" s="37" t="b">
        <f t="shared" si="14"/>
        <v>1</v>
      </c>
      <c r="AI122" s="37"/>
      <c r="AJ122" s="37"/>
      <c r="AK122" s="37"/>
      <c r="AL122" s="37"/>
      <c r="AM122" s="37"/>
      <c r="AN122" s="37"/>
      <c r="AO122" s="37"/>
      <c r="AP122" s="207"/>
      <c r="AR122" s="37"/>
      <c r="AS122" s="37"/>
      <c r="AT122" s="37"/>
      <c r="AU122" s="37"/>
      <c r="AV122" s="37"/>
      <c r="AW122" s="37"/>
      <c r="AX122" s="37"/>
      <c r="AY122" s="37"/>
      <c r="AZ122" s="37"/>
      <c r="BA122" s="64"/>
    </row>
    <row r="123" spans="1:53">
      <c r="A123" s="231">
        <v>2142</v>
      </c>
      <c r="B123" s="4">
        <v>103237</v>
      </c>
      <c r="C123" s="4" t="s">
        <v>723</v>
      </c>
      <c r="D123" s="4" t="s">
        <v>724</v>
      </c>
      <c r="E123" s="213" t="s">
        <v>5</v>
      </c>
      <c r="F123" s="248" t="s">
        <v>411</v>
      </c>
      <c r="G123" s="37"/>
      <c r="H123" s="272">
        <f>_xlfn.IFNA(VLOOKUP(A123,ISB!$A$4:$BY$454,67,FALSE),0)</f>
        <v>2506043.5862927558</v>
      </c>
      <c r="I123" s="272">
        <f>_xlfn.IFNA(VLOOKUP(A123,ISB!$A$4:$BY$454,72,FALSE),0)</f>
        <v>-10454.19</v>
      </c>
      <c r="J123" s="273">
        <f>-_xlfn.IFNA(VLOOKUP(A123,ISB!$A$4:$BY$454,76,FALSE),0)</f>
        <v>-23115.156999999999</v>
      </c>
      <c r="K123" s="273">
        <f>_xlfn.IFNA(VLOOKUP(A123,ISB!$A$4:$BY$454,77,FALSE),0)</f>
        <v>2472474.2392927557</v>
      </c>
      <c r="L123" s="273">
        <f>_xlfn.IFNA(VLOOKUP(A123,'Post 16'!A:AC,13,FALSE),0)+(_xlfn.IFNA(VLOOKUP(A123,'Post 16'!A:AC,25,FALSE),0))</f>
        <v>0</v>
      </c>
      <c r="M123" s="273">
        <f>VLOOKUP(A123,HN!A:P,16,FALSE)</f>
        <v>0</v>
      </c>
      <c r="N123" s="273">
        <f>VLOOKUP(A123,HN!A:T,20,FALSE)</f>
        <v>0</v>
      </c>
      <c r="O123" s="273">
        <f>VLOOKUP(A123,EY!A:O,15,FALSE)</f>
        <v>87797.400000000009</v>
      </c>
      <c r="P123" s="273">
        <f>-VLOOKUP(A123,Adjustments!A:M,11,FALSE)</f>
        <v>-9471</v>
      </c>
      <c r="Q123" s="273"/>
      <c r="R123" s="273"/>
      <c r="S123" s="273">
        <f t="shared" si="15"/>
        <v>2550800.6392927556</v>
      </c>
      <c r="T123" s="37"/>
      <c r="U123" s="37">
        <v>212829.27327439631</v>
      </c>
      <c r="V123" s="37">
        <v>212829.27327439631</v>
      </c>
      <c r="W123" s="37">
        <v>212829.27327439631</v>
      </c>
      <c r="X123" s="37">
        <v>212479.2</v>
      </c>
      <c r="Y123" s="37">
        <v>212479.2</v>
      </c>
      <c r="Z123" s="37">
        <f t="shared" si="19"/>
        <v>212479.20243369584</v>
      </c>
      <c r="AA123" s="37">
        <f t="shared" si="18"/>
        <v>212479.2</v>
      </c>
      <c r="AB123" s="37">
        <f t="shared" si="18"/>
        <v>212479.2</v>
      </c>
      <c r="AC123" s="37">
        <f t="shared" si="18"/>
        <v>212479.2</v>
      </c>
      <c r="AD123" s="37">
        <f t="shared" si="18"/>
        <v>212479.2</v>
      </c>
      <c r="AE123" s="37">
        <f t="shared" si="18"/>
        <v>212479.2</v>
      </c>
      <c r="AF123" s="37">
        <f t="shared" si="12"/>
        <v>212479.217035871</v>
      </c>
      <c r="AG123" s="37">
        <f t="shared" si="13"/>
        <v>2550800.6392927556</v>
      </c>
      <c r="AH123" s="37" t="b">
        <f t="shared" si="14"/>
        <v>1</v>
      </c>
      <c r="AI123" s="37"/>
      <c r="AJ123" s="37"/>
      <c r="AK123" s="37"/>
      <c r="AL123" s="37"/>
      <c r="AM123" s="37"/>
      <c r="AN123" s="37"/>
      <c r="AO123" s="37"/>
      <c r="AP123" s="207"/>
      <c r="AR123" s="37"/>
      <c r="AS123" s="37"/>
      <c r="AT123" s="37"/>
      <c r="AU123" s="37"/>
      <c r="AV123" s="37"/>
      <c r="AW123" s="37"/>
      <c r="AX123" s="37"/>
      <c r="AY123" s="37"/>
      <c r="AZ123" s="37"/>
      <c r="BA123" s="64"/>
    </row>
    <row r="124" spans="1:53">
      <c r="A124" s="231">
        <v>2469</v>
      </c>
      <c r="B124" s="4">
        <v>103395</v>
      </c>
      <c r="C124" s="4" t="s">
        <v>726</v>
      </c>
      <c r="D124" s="4" t="s">
        <v>727</v>
      </c>
      <c r="E124" s="213" t="s">
        <v>5</v>
      </c>
      <c r="F124" s="248" t="s">
        <v>411</v>
      </c>
      <c r="G124" s="37"/>
      <c r="H124" s="272">
        <f>_xlfn.IFNA(VLOOKUP(A124,ISB!$A$4:$BY$454,67,FALSE),0)</f>
        <v>1769949.3700293116</v>
      </c>
      <c r="I124" s="272">
        <f>_xlfn.IFNA(VLOOKUP(A124,ISB!$A$4:$BY$454,72,FALSE),0)</f>
        <v>-8147.75</v>
      </c>
      <c r="J124" s="273">
        <f>-_xlfn.IFNA(VLOOKUP(A124,ISB!$A$4:$BY$454,76,FALSE),0)</f>
        <v>-25052.185300000001</v>
      </c>
      <c r="K124" s="273">
        <f>_xlfn.IFNA(VLOOKUP(A124,ISB!$A$4:$BY$454,77,FALSE),0)</f>
        <v>1736749.4347293116</v>
      </c>
      <c r="L124" s="273">
        <f>_xlfn.IFNA(VLOOKUP(A124,'Post 16'!A:AC,13,FALSE),0)+(_xlfn.IFNA(VLOOKUP(A124,'Post 16'!A:AC,25,FALSE),0))</f>
        <v>0</v>
      </c>
      <c r="M124" s="273">
        <f>VLOOKUP(A124,HN!A:P,16,FALSE)</f>
        <v>0</v>
      </c>
      <c r="N124" s="273">
        <f>VLOOKUP(A124,HN!A:T,20,FALSE)</f>
        <v>0</v>
      </c>
      <c r="O124" s="273">
        <f>VLOOKUP(A124,EY!A:O,15,FALSE)</f>
        <v>0</v>
      </c>
      <c r="P124" s="273">
        <f>-VLOOKUP(A124,Adjustments!A:M,11,FALSE)</f>
        <v>-9471</v>
      </c>
      <c r="Q124" s="273"/>
      <c r="R124" s="273"/>
      <c r="S124" s="273">
        <f t="shared" si="15"/>
        <v>1727278.4347293116</v>
      </c>
      <c r="T124" s="37"/>
      <c r="U124" s="37">
        <v>143939.86956077596</v>
      </c>
      <c r="V124" s="37">
        <v>143939.86956077596</v>
      </c>
      <c r="W124" s="37">
        <v>143939.86956077596</v>
      </c>
      <c r="X124" s="37">
        <v>143939.87</v>
      </c>
      <c r="Y124" s="37">
        <v>143939.87</v>
      </c>
      <c r="Z124" s="37">
        <f t="shared" si="19"/>
        <v>143939.86950587295</v>
      </c>
      <c r="AA124" s="37">
        <f t="shared" si="18"/>
        <v>143939.87</v>
      </c>
      <c r="AB124" s="37">
        <f t="shared" si="18"/>
        <v>143939.87</v>
      </c>
      <c r="AC124" s="37">
        <f t="shared" si="18"/>
        <v>143939.87</v>
      </c>
      <c r="AD124" s="37">
        <f t="shared" si="18"/>
        <v>143939.87</v>
      </c>
      <c r="AE124" s="37">
        <f t="shared" si="18"/>
        <v>143939.87</v>
      </c>
      <c r="AF124" s="37">
        <f t="shared" si="12"/>
        <v>143939.86654111044</v>
      </c>
      <c r="AG124" s="37">
        <f t="shared" si="13"/>
        <v>1727278.4347293116</v>
      </c>
      <c r="AH124" s="37" t="b">
        <f t="shared" si="14"/>
        <v>1</v>
      </c>
      <c r="AI124" s="37"/>
      <c r="AJ124" s="37"/>
      <c r="AK124" s="37"/>
      <c r="AL124" s="37"/>
      <c r="AM124" s="37"/>
      <c r="AN124" s="37"/>
      <c r="AO124" s="37"/>
      <c r="AP124" s="207"/>
      <c r="AR124" s="37"/>
      <c r="AS124" s="37"/>
      <c r="AT124" s="37"/>
      <c r="AU124" s="37"/>
      <c r="AV124" s="37"/>
      <c r="AW124" s="37"/>
      <c r="AX124" s="37"/>
      <c r="AY124" s="37"/>
      <c r="AZ124" s="37"/>
      <c r="BA124" s="64"/>
    </row>
    <row r="125" spans="1:53">
      <c r="A125" s="231">
        <v>3431</v>
      </c>
      <c r="B125" s="4">
        <v>134774</v>
      </c>
      <c r="C125" s="4" t="s">
        <v>729</v>
      </c>
      <c r="D125" s="4" t="s">
        <v>730</v>
      </c>
      <c r="E125" s="213" t="s">
        <v>5</v>
      </c>
      <c r="F125" s="248" t="s">
        <v>411</v>
      </c>
      <c r="G125" s="37"/>
      <c r="H125" s="272">
        <f>_xlfn.IFNA(VLOOKUP(A125,ISB!$A$4:$BY$454,67,FALSE),0)</f>
        <v>3004878.6179999998</v>
      </c>
      <c r="I125" s="272">
        <f>_xlfn.IFNA(VLOOKUP(A125,ISB!$A$4:$BY$454,72,FALSE),0)</f>
        <v>-15743.960000000001</v>
      </c>
      <c r="J125" s="273">
        <f>-_xlfn.IFNA(VLOOKUP(A125,ISB!$A$4:$BY$454,76,FALSE),0)</f>
        <v>-109798.618</v>
      </c>
      <c r="K125" s="273">
        <f>_xlfn.IFNA(VLOOKUP(A125,ISB!$A$4:$BY$454,77,FALSE),0)</f>
        <v>2879336.04</v>
      </c>
      <c r="L125" s="273">
        <f>_xlfn.IFNA(VLOOKUP(A125,'Post 16'!A:AC,13,FALSE),0)+(_xlfn.IFNA(VLOOKUP(A125,'Post 16'!A:AC,25,FALSE),0))</f>
        <v>0</v>
      </c>
      <c r="M125" s="273">
        <f>VLOOKUP(A125,HN!A:P,16,FALSE)</f>
        <v>0</v>
      </c>
      <c r="N125" s="273">
        <f>VLOOKUP(A125,HN!A:T,20,FALSE)</f>
        <v>0</v>
      </c>
      <c r="O125" s="273">
        <f>VLOOKUP(A125,EY!A:O,15,FALSE)</f>
        <v>184407.3</v>
      </c>
      <c r="P125" s="273">
        <f>-VLOOKUP(A125,Adjustments!A:M,11,FALSE)</f>
        <v>-18745.650000000001</v>
      </c>
      <c r="Q125" s="273"/>
      <c r="R125" s="273"/>
      <c r="S125" s="273">
        <f t="shared" si="15"/>
        <v>3044997.69</v>
      </c>
      <c r="T125" s="37"/>
      <c r="U125" s="37">
        <v>252911.98250000001</v>
      </c>
      <c r="V125" s="37">
        <v>252911.98250000001</v>
      </c>
      <c r="W125" s="37">
        <v>252911.98250000001</v>
      </c>
      <c r="X125" s="37">
        <v>254029.08</v>
      </c>
      <c r="Y125" s="37">
        <v>254029.08</v>
      </c>
      <c r="Z125" s="37">
        <f t="shared" si="19"/>
        <v>254029.08281250001</v>
      </c>
      <c r="AA125" s="37">
        <f t="shared" si="18"/>
        <v>254029.08</v>
      </c>
      <c r="AB125" s="37">
        <f t="shared" si="18"/>
        <v>254029.08</v>
      </c>
      <c r="AC125" s="37">
        <f t="shared" si="18"/>
        <v>254029.08</v>
      </c>
      <c r="AD125" s="37">
        <f t="shared" si="18"/>
        <v>254029.08</v>
      </c>
      <c r="AE125" s="37">
        <f t="shared" si="18"/>
        <v>254029.08</v>
      </c>
      <c r="AF125" s="37">
        <f t="shared" si="12"/>
        <v>254029.09968749993</v>
      </c>
      <c r="AG125" s="37">
        <f t="shared" si="13"/>
        <v>3044997.69</v>
      </c>
      <c r="AH125" s="37" t="b">
        <f t="shared" si="14"/>
        <v>1</v>
      </c>
      <c r="AI125" s="37"/>
      <c r="AJ125" s="37"/>
      <c r="AK125" s="37"/>
      <c r="AL125" s="37"/>
      <c r="AM125" s="37"/>
      <c r="AN125" s="37"/>
      <c r="AO125" s="37"/>
      <c r="AP125" s="207"/>
      <c r="AR125" s="37"/>
      <c r="AS125" s="37"/>
      <c r="AT125" s="37"/>
      <c r="AU125" s="37"/>
      <c r="AV125" s="37"/>
      <c r="AW125" s="37"/>
      <c r="AX125" s="37"/>
      <c r="AY125" s="37"/>
      <c r="AZ125" s="37"/>
      <c r="BA125" s="64"/>
    </row>
    <row r="126" spans="1:53">
      <c r="A126" s="231">
        <v>1028</v>
      </c>
      <c r="B126" s="4">
        <v>103141</v>
      </c>
      <c r="C126" s="4" t="s">
        <v>732</v>
      </c>
      <c r="D126" s="4" t="s">
        <v>733</v>
      </c>
      <c r="E126" s="213" t="s">
        <v>180</v>
      </c>
      <c r="F126" s="248" t="s">
        <v>411</v>
      </c>
      <c r="G126" s="37"/>
      <c r="H126" s="272">
        <f>_xlfn.IFNA(VLOOKUP(A126,ISB!$A$4:$BY$454,67,FALSE),0)</f>
        <v>0</v>
      </c>
      <c r="I126" s="272">
        <f>_xlfn.IFNA(VLOOKUP(A126,ISB!$A$4:$BY$454,72,FALSE),0)</f>
        <v>0</v>
      </c>
      <c r="J126" s="273">
        <f>-_xlfn.IFNA(VLOOKUP(A126,ISB!$A$4:$BY$454,76,FALSE),0)</f>
        <v>0</v>
      </c>
      <c r="K126" s="273">
        <f>_xlfn.IFNA(VLOOKUP(A126,ISB!$A$4:$BY$454,77,FALSE),0)</f>
        <v>0</v>
      </c>
      <c r="L126" s="273">
        <f>_xlfn.IFNA(VLOOKUP(A126,'Post 16'!A:AC,13,FALSE),0)+(_xlfn.IFNA(VLOOKUP(A126,'Post 16'!A:AC,25,FALSE),0))</f>
        <v>0</v>
      </c>
      <c r="M126" s="273">
        <f>VLOOKUP(A126,HN!A:P,16,FALSE)</f>
        <v>0</v>
      </c>
      <c r="N126" s="273">
        <f>VLOOKUP(A126,HN!A:T,20,FALSE)</f>
        <v>0</v>
      </c>
      <c r="O126" s="273">
        <f>VLOOKUP(A126,EY!A:O,15,FALSE)</f>
        <v>662106.30666666676</v>
      </c>
      <c r="P126" s="273">
        <f>-VLOOKUP(A126,Adjustments!A:M,11,FALSE)</f>
        <v>-3291.75</v>
      </c>
      <c r="Q126" s="273"/>
      <c r="R126" s="273"/>
      <c r="S126" s="273">
        <f t="shared" si="15"/>
        <v>658814.55666666676</v>
      </c>
      <c r="T126" s="37"/>
      <c r="U126" s="37">
        <v>45436.808355194691</v>
      </c>
      <c r="V126" s="37">
        <v>45436.808355194691</v>
      </c>
      <c r="W126" s="37">
        <v>45436.808355194691</v>
      </c>
      <c r="X126" s="37">
        <v>58056.01</v>
      </c>
      <c r="Y126" s="37">
        <v>58056.02</v>
      </c>
      <c r="Z126" s="37">
        <f t="shared" si="19"/>
        <v>58056.015200135334</v>
      </c>
      <c r="AA126" s="37">
        <f t="shared" si="18"/>
        <v>58056.01</v>
      </c>
      <c r="AB126" s="37">
        <f t="shared" si="18"/>
        <v>58056.01</v>
      </c>
      <c r="AC126" s="37">
        <f t="shared" si="18"/>
        <v>58056.01</v>
      </c>
      <c r="AD126" s="37">
        <f t="shared" si="18"/>
        <v>58056.01</v>
      </c>
      <c r="AE126" s="37">
        <f t="shared" si="18"/>
        <v>58056.01</v>
      </c>
      <c r="AF126" s="37">
        <f t="shared" si="12"/>
        <v>58056.036400947371</v>
      </c>
      <c r="AG126" s="37">
        <f t="shared" si="13"/>
        <v>658814.55666666676</v>
      </c>
      <c r="AH126" s="37" t="b">
        <f t="shared" si="14"/>
        <v>1</v>
      </c>
      <c r="AI126" s="37"/>
      <c r="AJ126" s="37"/>
      <c r="AK126" s="37"/>
      <c r="AL126" s="37"/>
      <c r="AM126" s="37"/>
      <c r="AN126" s="37"/>
      <c r="AO126" s="37"/>
      <c r="AP126" s="207"/>
      <c r="AR126" s="37"/>
      <c r="AS126" s="37"/>
      <c r="AT126" s="37"/>
      <c r="AU126" s="37"/>
      <c r="AV126" s="37"/>
      <c r="AW126" s="37"/>
      <c r="AX126" s="37"/>
      <c r="AY126" s="37"/>
      <c r="AZ126" s="37"/>
      <c r="BA126" s="64"/>
    </row>
    <row r="127" spans="1:53">
      <c r="A127" s="231">
        <v>1049</v>
      </c>
      <c r="B127" s="4">
        <v>103145</v>
      </c>
      <c r="C127" s="4" t="s">
        <v>735</v>
      </c>
      <c r="D127" s="4" t="s">
        <v>736</v>
      </c>
      <c r="E127" s="213" t="s">
        <v>180</v>
      </c>
      <c r="F127" s="248" t="s">
        <v>411</v>
      </c>
      <c r="G127" s="37"/>
      <c r="H127" s="272">
        <f>_xlfn.IFNA(VLOOKUP(A127,ISB!$A$4:$BY$454,67,FALSE),0)</f>
        <v>0</v>
      </c>
      <c r="I127" s="272">
        <f>_xlfn.IFNA(VLOOKUP(A127,ISB!$A$4:$BY$454,72,FALSE),0)</f>
        <v>0</v>
      </c>
      <c r="J127" s="273">
        <f>-_xlfn.IFNA(VLOOKUP(A127,ISB!$A$4:$BY$454,76,FALSE),0)</f>
        <v>0</v>
      </c>
      <c r="K127" s="273">
        <f>_xlfn.IFNA(VLOOKUP(A127,ISB!$A$4:$BY$454,77,FALSE),0)</f>
        <v>0</v>
      </c>
      <c r="L127" s="273">
        <f>_xlfn.IFNA(VLOOKUP(A127,'Post 16'!A:AC,13,FALSE),0)+(_xlfn.IFNA(VLOOKUP(A127,'Post 16'!A:AC,25,FALSE),0))</f>
        <v>0</v>
      </c>
      <c r="M127" s="273">
        <f>VLOOKUP(A127,HN!A:P,16,FALSE)</f>
        <v>0</v>
      </c>
      <c r="N127" s="273">
        <f>VLOOKUP(A127,HN!A:T,20,FALSE)</f>
        <v>0</v>
      </c>
      <c r="O127" s="273">
        <f>VLOOKUP(A127,EY!A:O,15,FALSE)</f>
        <v>751513.52333333343</v>
      </c>
      <c r="P127" s="273">
        <f>-VLOOKUP(A127,Adjustments!A:M,11,FALSE)</f>
        <v>-3291.75</v>
      </c>
      <c r="Q127" s="273"/>
      <c r="R127" s="273">
        <v>-1668.93</v>
      </c>
      <c r="S127" s="273">
        <f t="shared" si="15"/>
        <v>746552.84333333338</v>
      </c>
      <c r="T127" s="37"/>
      <c r="U127" s="37">
        <v>50233.569902753516</v>
      </c>
      <c r="V127" s="37">
        <v>50233.569902753516</v>
      </c>
      <c r="W127" s="37">
        <v>50233.569902753516</v>
      </c>
      <c r="X127" s="37">
        <v>66205.789999999994</v>
      </c>
      <c r="Y127" s="37">
        <v>66205.789999999994</v>
      </c>
      <c r="Z127" s="37">
        <f t="shared" si="19"/>
        <v>66205.792953134107</v>
      </c>
      <c r="AA127" s="37">
        <f t="shared" si="18"/>
        <v>66205.789999999994</v>
      </c>
      <c r="AB127" s="37">
        <f t="shared" si="18"/>
        <v>66205.789999999994</v>
      </c>
      <c r="AC127" s="37">
        <f t="shared" si="18"/>
        <v>66205.789999999994</v>
      </c>
      <c r="AD127" s="37">
        <f t="shared" si="18"/>
        <v>66205.789999999994</v>
      </c>
      <c r="AE127" s="37">
        <f t="shared" si="18"/>
        <v>66205.789999999994</v>
      </c>
      <c r="AF127" s="37">
        <f t="shared" si="12"/>
        <v>66205.8106719387</v>
      </c>
      <c r="AG127" s="37">
        <f t="shared" si="13"/>
        <v>746552.84333333338</v>
      </c>
      <c r="AH127" s="37" t="b">
        <f t="shared" si="14"/>
        <v>1</v>
      </c>
      <c r="AI127" s="37"/>
      <c r="AJ127" s="37"/>
      <c r="AK127" s="37"/>
      <c r="AL127" s="37"/>
      <c r="AM127" s="37"/>
      <c r="AN127" s="37"/>
      <c r="AO127" s="37"/>
      <c r="AP127" s="207"/>
      <c r="AR127" s="37"/>
      <c r="AS127" s="37"/>
      <c r="AT127" s="37"/>
      <c r="AU127" s="37"/>
      <c r="AV127" s="37"/>
      <c r="AW127" s="37"/>
      <c r="AX127" s="37"/>
      <c r="AY127" s="37"/>
      <c r="AZ127" s="37"/>
      <c r="BA127" s="64"/>
    </row>
    <row r="128" spans="1:53">
      <c r="A128" s="231">
        <v>2149</v>
      </c>
      <c r="B128" s="4">
        <v>103240</v>
      </c>
      <c r="C128" s="4" t="s">
        <v>738</v>
      </c>
      <c r="D128" s="4" t="s">
        <v>739</v>
      </c>
      <c r="E128" s="213" t="s">
        <v>5</v>
      </c>
      <c r="F128" s="248" t="s">
        <v>411</v>
      </c>
      <c r="G128" s="37"/>
      <c r="H128" s="272">
        <f>_xlfn.IFNA(VLOOKUP(A128,ISB!$A$4:$BY$454,67,FALSE),0)</f>
        <v>2095328.5175378479</v>
      </c>
      <c r="I128" s="272">
        <f>_xlfn.IFNA(VLOOKUP(A128,ISB!$A$4:$BY$454,72,FALSE),0)</f>
        <v>-9300.9699999999993</v>
      </c>
      <c r="J128" s="273">
        <f>-_xlfn.IFNA(VLOOKUP(A128,ISB!$A$4:$BY$454,76,FALSE),0)</f>
        <v>-32800.277900000001</v>
      </c>
      <c r="K128" s="273">
        <f>_xlfn.IFNA(VLOOKUP(A128,ISB!$A$4:$BY$454,77,FALSE),0)</f>
        <v>2053227.2696378478</v>
      </c>
      <c r="L128" s="273">
        <f>_xlfn.IFNA(VLOOKUP(A128,'Post 16'!A:AC,13,FALSE),0)+(_xlfn.IFNA(VLOOKUP(A128,'Post 16'!A:AC,25,FALSE),0))</f>
        <v>0</v>
      </c>
      <c r="M128" s="273">
        <f>VLOOKUP(A128,HN!A:P,16,FALSE)</f>
        <v>0</v>
      </c>
      <c r="N128" s="273">
        <f>VLOOKUP(A128,HN!A:T,20,FALSE)</f>
        <v>215374.03846153847</v>
      </c>
      <c r="O128" s="273">
        <f>VLOOKUP(A128,EY!A:O,15,FALSE)</f>
        <v>74573.100000000006</v>
      </c>
      <c r="P128" s="273">
        <f>-VLOOKUP(A128,Adjustments!A:M,11,FALSE)</f>
        <v>-9471</v>
      </c>
      <c r="Q128" s="273"/>
      <c r="R128" s="273"/>
      <c r="S128" s="273">
        <f t="shared" si="15"/>
        <v>2333703.4080993864</v>
      </c>
      <c r="T128" s="37"/>
      <c r="U128" s="37">
        <v>175325.50446982065</v>
      </c>
      <c r="V128" s="37">
        <v>175325.50446982065</v>
      </c>
      <c r="W128" s="37">
        <v>175325.50446982065</v>
      </c>
      <c r="X128" s="37">
        <v>248719.44615384616</v>
      </c>
      <c r="Y128" s="37">
        <v>194875.93</v>
      </c>
      <c r="Z128" s="37">
        <f t="shared" si="19"/>
        <v>194875.93106700978</v>
      </c>
      <c r="AA128" s="37">
        <f t="shared" si="18"/>
        <v>194875.93</v>
      </c>
      <c r="AB128" s="37">
        <f t="shared" si="18"/>
        <v>194875.93</v>
      </c>
      <c r="AC128" s="37">
        <f t="shared" si="18"/>
        <v>194875.93</v>
      </c>
      <c r="AD128" s="37">
        <f t="shared" si="18"/>
        <v>194875.93</v>
      </c>
      <c r="AE128" s="37">
        <f t="shared" si="18"/>
        <v>194875.93</v>
      </c>
      <c r="AF128" s="37">
        <f t="shared" si="12"/>
        <v>194875.93746906891</v>
      </c>
      <c r="AG128" s="37">
        <f t="shared" si="13"/>
        <v>2333703.4080993864</v>
      </c>
      <c r="AH128" s="37" t="b">
        <f t="shared" si="14"/>
        <v>1</v>
      </c>
      <c r="AI128" s="37"/>
      <c r="AJ128" s="37"/>
      <c r="AK128" s="37"/>
      <c r="AL128" s="37"/>
      <c r="AM128" s="37"/>
      <c r="AN128" s="37"/>
      <c r="AO128" s="37"/>
      <c r="AP128" s="207"/>
      <c r="AR128" s="37"/>
      <c r="AS128" s="37"/>
      <c r="AT128" s="37"/>
      <c r="AU128" s="37"/>
      <c r="AV128" s="37"/>
      <c r="AW128" s="37"/>
      <c r="AX128" s="37"/>
      <c r="AY128" s="37"/>
      <c r="AZ128" s="37"/>
      <c r="BA128" s="64"/>
    </row>
    <row r="129" spans="1:53">
      <c r="A129" s="231">
        <v>2150</v>
      </c>
      <c r="B129" s="4">
        <v>103241</v>
      </c>
      <c r="C129" s="4" t="s">
        <v>741</v>
      </c>
      <c r="D129" s="4" t="s">
        <v>742</v>
      </c>
      <c r="E129" s="213" t="s">
        <v>5</v>
      </c>
      <c r="F129" s="248" t="s">
        <v>411</v>
      </c>
      <c r="G129" s="37"/>
      <c r="H129" s="272">
        <f>_xlfn.IFNA(VLOOKUP(A129,ISB!$A$4:$BY$454,67,FALSE),0)</f>
        <v>1543256.9311655336</v>
      </c>
      <c r="I129" s="272">
        <f>_xlfn.IFNA(VLOOKUP(A129,ISB!$A$4:$BY$454,72,FALSE),0)</f>
        <v>-6819.04</v>
      </c>
      <c r="J129" s="273">
        <f>-_xlfn.IFNA(VLOOKUP(A129,ISB!$A$4:$BY$454,76,FALSE),0)</f>
        <v>-35244.787199999999</v>
      </c>
      <c r="K129" s="273">
        <f>_xlfn.IFNA(VLOOKUP(A129,ISB!$A$4:$BY$454,77,FALSE),0)</f>
        <v>1501193.1039655337</v>
      </c>
      <c r="L129" s="273">
        <f>_xlfn.IFNA(VLOOKUP(A129,'Post 16'!A:AC,13,FALSE),0)+(_xlfn.IFNA(VLOOKUP(A129,'Post 16'!A:AC,25,FALSE),0))</f>
        <v>0</v>
      </c>
      <c r="M129" s="273">
        <f>VLOOKUP(A129,HN!A:P,16,FALSE)</f>
        <v>0</v>
      </c>
      <c r="N129" s="273">
        <f>VLOOKUP(A129,HN!A:T,20,FALSE)</f>
        <v>0</v>
      </c>
      <c r="O129" s="273">
        <f>VLOOKUP(A129,EY!A:O,15,FALSE)</f>
        <v>64747.8</v>
      </c>
      <c r="P129" s="273">
        <f>-VLOOKUP(A129,Adjustments!A:M,11,FALSE)</f>
        <v>-5139.75</v>
      </c>
      <c r="Q129" s="273"/>
      <c r="R129" s="273"/>
      <c r="S129" s="273">
        <f t="shared" si="15"/>
        <v>1560801.1539655337</v>
      </c>
      <c r="T129" s="37"/>
      <c r="U129" s="37">
        <v>130572.9205127528</v>
      </c>
      <c r="V129" s="37">
        <v>130572.9205127528</v>
      </c>
      <c r="W129" s="37">
        <v>130572.9205127528</v>
      </c>
      <c r="X129" s="37">
        <v>129898.04</v>
      </c>
      <c r="Y129" s="37">
        <v>129898.04</v>
      </c>
      <c r="Z129" s="37">
        <f t="shared" si="19"/>
        <v>129898.04405340942</v>
      </c>
      <c r="AA129" s="37">
        <f t="shared" si="18"/>
        <v>129898.04</v>
      </c>
      <c r="AB129" s="37">
        <f t="shared" si="18"/>
        <v>129898.04</v>
      </c>
      <c r="AC129" s="37">
        <f t="shared" si="18"/>
        <v>129898.04</v>
      </c>
      <c r="AD129" s="37">
        <f t="shared" si="18"/>
        <v>129898.04</v>
      </c>
      <c r="AE129" s="37">
        <f t="shared" si="18"/>
        <v>129898.04</v>
      </c>
      <c r="AF129" s="37">
        <f t="shared" si="12"/>
        <v>129898.06837386568</v>
      </c>
      <c r="AG129" s="37">
        <f t="shared" si="13"/>
        <v>1560801.1539655337</v>
      </c>
      <c r="AH129" s="37" t="b">
        <f t="shared" si="14"/>
        <v>1</v>
      </c>
      <c r="AI129" s="37"/>
      <c r="AJ129" s="37"/>
      <c r="AK129" s="37"/>
      <c r="AL129" s="37"/>
      <c r="AM129" s="37"/>
      <c r="AN129" s="37"/>
      <c r="AO129" s="37"/>
      <c r="AP129" s="207"/>
      <c r="AR129" s="37"/>
      <c r="AS129" s="37"/>
      <c r="AT129" s="37"/>
      <c r="AU129" s="37"/>
      <c r="AV129" s="37"/>
      <c r="AW129" s="37"/>
      <c r="AX129" s="37"/>
      <c r="AY129" s="37"/>
      <c r="AZ129" s="37"/>
      <c r="BA129" s="64"/>
    </row>
    <row r="130" spans="1:53">
      <c r="A130" s="231">
        <v>2425</v>
      </c>
      <c r="B130" s="4">
        <v>103356</v>
      </c>
      <c r="C130" s="4" t="s">
        <v>744</v>
      </c>
      <c r="D130" s="4" t="s">
        <v>745</v>
      </c>
      <c r="E130" s="213" t="s">
        <v>5</v>
      </c>
      <c r="F130" s="248" t="s">
        <v>411</v>
      </c>
      <c r="G130" s="37"/>
      <c r="H130" s="272">
        <f>_xlfn.IFNA(VLOOKUP(A130,ISB!$A$4:$BY$454,67,FALSE),0)</f>
        <v>1046272.0651080001</v>
      </c>
      <c r="I130" s="272">
        <f>_xlfn.IFNA(VLOOKUP(A130,ISB!$A$4:$BY$454,72,FALSE),0)</f>
        <v>-5289.77</v>
      </c>
      <c r="J130" s="273">
        <f>-_xlfn.IFNA(VLOOKUP(A130,ISB!$A$4:$BY$454,76,FALSE),0)</f>
        <v>-15625.3266</v>
      </c>
      <c r="K130" s="273">
        <f>_xlfn.IFNA(VLOOKUP(A130,ISB!$A$4:$BY$454,77,FALSE),0)</f>
        <v>1025356.968508</v>
      </c>
      <c r="L130" s="273">
        <f>_xlfn.IFNA(VLOOKUP(A130,'Post 16'!A:AC,13,FALSE),0)+(_xlfn.IFNA(VLOOKUP(A130,'Post 16'!A:AC,25,FALSE),0))</f>
        <v>0</v>
      </c>
      <c r="M130" s="273">
        <f>VLOOKUP(A130,HN!A:P,16,FALSE)</f>
        <v>0</v>
      </c>
      <c r="N130" s="273">
        <f>VLOOKUP(A130,HN!A:T,20,FALSE)</f>
        <v>0</v>
      </c>
      <c r="O130" s="273">
        <f>VLOOKUP(A130,EY!A:O,15,FALSE)</f>
        <v>0</v>
      </c>
      <c r="P130" s="273">
        <f>-VLOOKUP(A130,Adjustments!A:M,11,FALSE)</f>
        <v>-5139.75</v>
      </c>
      <c r="Q130" s="273"/>
      <c r="R130" s="273"/>
      <c r="S130" s="273">
        <f t="shared" si="15"/>
        <v>1020217.218508</v>
      </c>
      <c r="T130" s="37"/>
      <c r="U130" s="37">
        <v>85018.10154233333</v>
      </c>
      <c r="V130" s="37">
        <v>85018.10154233333</v>
      </c>
      <c r="W130" s="37">
        <v>85018.10154233333</v>
      </c>
      <c r="X130" s="37">
        <v>85018.1</v>
      </c>
      <c r="Y130" s="37">
        <v>85018.1</v>
      </c>
      <c r="Z130" s="37">
        <f t="shared" si="19"/>
        <v>85018.101735125005</v>
      </c>
      <c r="AA130" s="37">
        <f t="shared" si="18"/>
        <v>85018.1</v>
      </c>
      <c r="AB130" s="37">
        <f t="shared" si="18"/>
        <v>85018.1</v>
      </c>
      <c r="AC130" s="37">
        <f t="shared" si="18"/>
        <v>85018.1</v>
      </c>
      <c r="AD130" s="37">
        <f t="shared" si="18"/>
        <v>85018.1</v>
      </c>
      <c r="AE130" s="37">
        <f t="shared" si="18"/>
        <v>85018.1</v>
      </c>
      <c r="AF130" s="37">
        <f t="shared" si="12"/>
        <v>85018.112145875115</v>
      </c>
      <c r="AG130" s="37">
        <f t="shared" si="13"/>
        <v>1020217.218508</v>
      </c>
      <c r="AH130" s="37" t="b">
        <f t="shared" si="14"/>
        <v>1</v>
      </c>
      <c r="AI130" s="37"/>
      <c r="AJ130" s="37"/>
      <c r="AK130" s="37"/>
      <c r="AL130" s="37"/>
      <c r="AM130" s="37"/>
      <c r="AN130" s="37"/>
      <c r="AO130" s="37"/>
      <c r="AP130" s="207"/>
      <c r="AR130" s="37"/>
      <c r="AS130" s="37"/>
      <c r="AT130" s="37"/>
      <c r="AU130" s="37"/>
      <c r="AV130" s="37"/>
      <c r="AW130" s="37"/>
      <c r="AX130" s="37"/>
      <c r="AY130" s="37"/>
      <c r="AZ130" s="37"/>
      <c r="BA130" s="64"/>
    </row>
    <row r="131" spans="1:53">
      <c r="A131" s="231">
        <v>1008</v>
      </c>
      <c r="B131" s="4">
        <v>103123</v>
      </c>
      <c r="C131" s="4" t="s">
        <v>747</v>
      </c>
      <c r="D131" s="4" t="s">
        <v>748</v>
      </c>
      <c r="E131" s="213" t="s">
        <v>180</v>
      </c>
      <c r="F131" s="248" t="s">
        <v>411</v>
      </c>
      <c r="G131" s="37"/>
      <c r="H131" s="272">
        <f>_xlfn.IFNA(VLOOKUP(A131,ISB!$A$4:$BY$454,67,FALSE),0)</f>
        <v>0</v>
      </c>
      <c r="I131" s="272">
        <f>_xlfn.IFNA(VLOOKUP(A131,ISB!$A$4:$BY$454,72,FALSE),0)</f>
        <v>0</v>
      </c>
      <c r="J131" s="273">
        <f>-_xlfn.IFNA(VLOOKUP(A131,ISB!$A$4:$BY$454,76,FALSE),0)</f>
        <v>0</v>
      </c>
      <c r="K131" s="273">
        <f>_xlfn.IFNA(VLOOKUP(A131,ISB!$A$4:$BY$454,77,FALSE),0)</f>
        <v>0</v>
      </c>
      <c r="L131" s="273">
        <f>_xlfn.IFNA(VLOOKUP(A131,'Post 16'!A:AC,13,FALSE),0)+(_xlfn.IFNA(VLOOKUP(A131,'Post 16'!A:AC,25,FALSE),0))</f>
        <v>0</v>
      </c>
      <c r="M131" s="273">
        <f>VLOOKUP(A131,HN!A:P,16,FALSE)</f>
        <v>0</v>
      </c>
      <c r="N131" s="273">
        <f>VLOOKUP(A131,HN!A:T,20,FALSE)</f>
        <v>0</v>
      </c>
      <c r="O131" s="273">
        <f>VLOOKUP(A131,EY!A:O,15,FALSE)</f>
        <v>472376.07666666666</v>
      </c>
      <c r="P131" s="273">
        <f>-VLOOKUP(A131,Adjustments!A:M,11,FALSE)</f>
        <v>-3291.75</v>
      </c>
      <c r="Q131" s="273"/>
      <c r="R131" s="273"/>
      <c r="S131" s="273">
        <f t="shared" si="15"/>
        <v>469084.32666666666</v>
      </c>
      <c r="T131" s="37"/>
      <c r="U131" s="37">
        <v>35501.040418313009</v>
      </c>
      <c r="V131" s="37">
        <v>35501.040418313009</v>
      </c>
      <c r="W131" s="37">
        <v>35501.040418313009</v>
      </c>
      <c r="X131" s="37">
        <v>40286.800000000003</v>
      </c>
      <c r="Y131" s="37">
        <v>40286.800000000003</v>
      </c>
      <c r="Z131" s="37">
        <f t="shared" si="19"/>
        <v>40286.800676465951</v>
      </c>
      <c r="AA131" s="37">
        <f t="shared" si="18"/>
        <v>40286.800000000003</v>
      </c>
      <c r="AB131" s="37">
        <f t="shared" si="18"/>
        <v>40286.800000000003</v>
      </c>
      <c r="AC131" s="37">
        <f t="shared" si="18"/>
        <v>40286.800000000003</v>
      </c>
      <c r="AD131" s="37">
        <f t="shared" si="18"/>
        <v>40286.800000000003</v>
      </c>
      <c r="AE131" s="37">
        <f t="shared" si="18"/>
        <v>40286.800000000003</v>
      </c>
      <c r="AF131" s="37">
        <f t="shared" si="12"/>
        <v>40286.804735261714</v>
      </c>
      <c r="AG131" s="37">
        <f t="shared" si="13"/>
        <v>469084.32666666666</v>
      </c>
      <c r="AH131" s="37" t="b">
        <f t="shared" si="14"/>
        <v>1</v>
      </c>
      <c r="AI131" s="37"/>
      <c r="AJ131" s="37"/>
      <c r="AK131" s="37"/>
      <c r="AL131" s="37"/>
      <c r="AM131" s="37"/>
      <c r="AN131" s="37"/>
      <c r="AO131" s="37"/>
      <c r="AP131" s="207"/>
      <c r="AR131" s="37"/>
      <c r="AS131" s="37"/>
      <c r="AT131" s="37"/>
      <c r="AU131" s="37"/>
      <c r="AV131" s="37"/>
      <c r="AW131" s="37"/>
      <c r="AX131" s="37"/>
      <c r="AY131" s="37"/>
      <c r="AZ131" s="37"/>
      <c r="BA131" s="64"/>
    </row>
    <row r="132" spans="1:53">
      <c r="A132" s="231">
        <v>7034</v>
      </c>
      <c r="B132" s="4">
        <v>103614</v>
      </c>
      <c r="C132" s="4" t="s">
        <v>750</v>
      </c>
      <c r="D132" s="4" t="s">
        <v>751</v>
      </c>
      <c r="E132" s="213" t="s">
        <v>1093</v>
      </c>
      <c r="F132" s="248" t="s">
        <v>411</v>
      </c>
      <c r="G132" s="37"/>
      <c r="H132" s="272">
        <f>_xlfn.IFNA(VLOOKUP(A132,ISB!$A$4:$BY$454,67,FALSE),0)</f>
        <v>0</v>
      </c>
      <c r="I132" s="272">
        <f>_xlfn.IFNA(VLOOKUP(A132,ISB!$A$4:$BY$454,72,FALSE),0)</f>
        <v>0</v>
      </c>
      <c r="J132" s="273">
        <f>-_xlfn.IFNA(VLOOKUP(A132,ISB!$A$4:$BY$454,76,FALSE),0)</f>
        <v>0</v>
      </c>
      <c r="K132" s="273">
        <f>_xlfn.IFNA(VLOOKUP(A132,ISB!$A$4:$BY$454,77,FALSE),0)</f>
        <v>0</v>
      </c>
      <c r="L132" s="273">
        <f>_xlfn.IFNA(VLOOKUP(A132,'Post 16'!A:AC,13,FALSE),0)+(_xlfn.IFNA(VLOOKUP(A132,'Post 16'!A:AC,25,FALSE),0))</f>
        <v>0</v>
      </c>
      <c r="M132" s="273">
        <f>VLOOKUP(A132,HN!A:P,16,FALSE)</f>
        <v>2073394.5137730534</v>
      </c>
      <c r="N132" s="273">
        <f>VLOOKUP(A132,HN!A:T,20,FALSE)</f>
        <v>0</v>
      </c>
      <c r="O132" s="273">
        <f>VLOOKUP(A132,EY!A:O,15,FALSE)</f>
        <v>5679.3</v>
      </c>
      <c r="P132" s="273">
        <f>-VLOOKUP(A132,Adjustments!A:M,11,FALSE)</f>
        <v>-3291.75</v>
      </c>
      <c r="Q132" s="273"/>
      <c r="R132" s="273"/>
      <c r="S132" s="273">
        <f t="shared" si="15"/>
        <v>2075782.0637730535</v>
      </c>
      <c r="T132" s="37"/>
      <c r="U132" s="37">
        <v>173260.56364775446</v>
      </c>
      <c r="V132" s="37">
        <v>173260.56364775446</v>
      </c>
      <c r="W132" s="37">
        <v>173260.56364775446</v>
      </c>
      <c r="X132" s="37">
        <v>172888.93</v>
      </c>
      <c r="Y132" s="37">
        <v>172888.93</v>
      </c>
      <c r="Z132" s="37">
        <f t="shared" si="19"/>
        <v>172888.93035372376</v>
      </c>
      <c r="AA132" s="37">
        <f t="shared" si="18"/>
        <v>172888.93</v>
      </c>
      <c r="AB132" s="37">
        <f t="shared" si="18"/>
        <v>172888.93</v>
      </c>
      <c r="AC132" s="37">
        <f t="shared" si="18"/>
        <v>172888.93</v>
      </c>
      <c r="AD132" s="37">
        <f t="shared" si="18"/>
        <v>172888.93</v>
      </c>
      <c r="AE132" s="37">
        <f t="shared" si="18"/>
        <v>172888.93</v>
      </c>
      <c r="AF132" s="37">
        <f t="shared" si="12"/>
        <v>172888.93247606675</v>
      </c>
      <c r="AG132" s="37">
        <f t="shared" si="13"/>
        <v>2075782.0637730535</v>
      </c>
      <c r="AH132" s="37" t="b">
        <f t="shared" si="14"/>
        <v>1</v>
      </c>
      <c r="AI132" s="37"/>
      <c r="AJ132" s="37"/>
      <c r="AK132" s="37"/>
      <c r="AL132" s="37"/>
      <c r="AM132" s="37"/>
      <c r="AN132" s="37"/>
      <c r="AO132" s="37"/>
      <c r="AP132" s="207"/>
      <c r="AR132" s="37"/>
      <c r="AS132" s="37"/>
      <c r="AT132" s="37"/>
      <c r="AU132" s="37"/>
      <c r="AV132" s="37"/>
      <c r="AW132" s="37"/>
      <c r="AX132" s="37"/>
      <c r="AY132" s="37"/>
      <c r="AZ132" s="37"/>
      <c r="BA132" s="64"/>
    </row>
    <row r="133" spans="1:53">
      <c r="A133" s="231">
        <v>2157</v>
      </c>
      <c r="B133" s="4">
        <v>103246</v>
      </c>
      <c r="C133" s="4" t="s">
        <v>753</v>
      </c>
      <c r="D133" s="4" t="s">
        <v>754</v>
      </c>
      <c r="E133" s="213" t="s">
        <v>5</v>
      </c>
      <c r="F133" s="248" t="s">
        <v>411</v>
      </c>
      <c r="G133" s="37"/>
      <c r="H133" s="272">
        <f>_xlfn.IFNA(VLOOKUP(A133,ISB!$A$4:$BY$454,67,FALSE),0)</f>
        <v>1843716.0755397181</v>
      </c>
      <c r="I133" s="272">
        <f>_xlfn.IFNA(VLOOKUP(A133,ISB!$A$4:$BY$454,72,FALSE),0)</f>
        <v>-9426.32</v>
      </c>
      <c r="J133" s="273">
        <f>-_xlfn.IFNA(VLOOKUP(A133,ISB!$A$4:$BY$454,76,FALSE),0)</f>
        <v>-27559.833600000002</v>
      </c>
      <c r="K133" s="273">
        <f>_xlfn.IFNA(VLOOKUP(A133,ISB!$A$4:$BY$454,77,FALSE),0)</f>
        <v>1806729.9219397181</v>
      </c>
      <c r="L133" s="273">
        <f>_xlfn.IFNA(VLOOKUP(A133,'Post 16'!A:AC,13,FALSE),0)+(_xlfn.IFNA(VLOOKUP(A133,'Post 16'!A:AC,25,FALSE),0))</f>
        <v>0</v>
      </c>
      <c r="M133" s="273">
        <f>VLOOKUP(A133,HN!A:P,16,FALSE)</f>
        <v>0</v>
      </c>
      <c r="N133" s="273">
        <f>VLOOKUP(A133,HN!A:T,20,FALSE)</f>
        <v>0</v>
      </c>
      <c r="O133" s="273">
        <f>VLOOKUP(A133,EY!A:O,15,FALSE)</f>
        <v>117654.00000000001</v>
      </c>
      <c r="P133" s="273">
        <f>-VLOOKUP(A133,Adjustments!A:M,11,FALSE)</f>
        <v>-9471</v>
      </c>
      <c r="Q133" s="273"/>
      <c r="R133" s="273"/>
      <c r="S133" s="273">
        <f t="shared" si="15"/>
        <v>1914912.9219397181</v>
      </c>
      <c r="T133" s="37"/>
      <c r="U133" s="37">
        <v>159195.65197711936</v>
      </c>
      <c r="V133" s="37">
        <v>159195.65197711936</v>
      </c>
      <c r="W133" s="37">
        <v>159195.65197711936</v>
      </c>
      <c r="X133" s="37">
        <v>159702.89000000001</v>
      </c>
      <c r="Y133" s="37">
        <v>159702.88</v>
      </c>
      <c r="Z133" s="37">
        <f t="shared" si="19"/>
        <v>159702.88450104499</v>
      </c>
      <c r="AA133" s="37">
        <f t="shared" si="18"/>
        <v>159702.89000000001</v>
      </c>
      <c r="AB133" s="37">
        <f t="shared" si="18"/>
        <v>159702.89000000001</v>
      </c>
      <c r="AC133" s="37">
        <f t="shared" si="18"/>
        <v>159702.89000000001</v>
      </c>
      <c r="AD133" s="37">
        <f t="shared" si="18"/>
        <v>159702.89000000001</v>
      </c>
      <c r="AE133" s="37">
        <f t="shared" si="18"/>
        <v>159702.89000000001</v>
      </c>
      <c r="AF133" s="37">
        <f t="shared" si="12"/>
        <v>159702.86150731472</v>
      </c>
      <c r="AG133" s="37">
        <f t="shared" si="13"/>
        <v>1914912.9219397181</v>
      </c>
      <c r="AH133" s="37" t="b">
        <f t="shared" si="14"/>
        <v>1</v>
      </c>
      <c r="AI133" s="37"/>
      <c r="AJ133" s="37"/>
      <c r="AK133" s="37"/>
      <c r="AL133" s="37"/>
      <c r="AM133" s="37"/>
      <c r="AN133" s="37"/>
      <c r="AO133" s="37"/>
      <c r="AP133" s="207"/>
      <c r="AR133" s="37"/>
      <c r="AS133" s="37"/>
      <c r="AT133" s="37"/>
      <c r="AU133" s="37"/>
      <c r="AV133" s="37"/>
      <c r="AW133" s="37"/>
      <c r="AX133" s="37"/>
      <c r="AY133" s="37"/>
      <c r="AZ133" s="37"/>
      <c r="BA133" s="64"/>
    </row>
    <row r="134" spans="1:53">
      <c r="A134" s="231">
        <v>2159</v>
      </c>
      <c r="B134" s="4">
        <v>103247</v>
      </c>
      <c r="C134" s="4" t="s">
        <v>756</v>
      </c>
      <c r="D134" s="4" t="s">
        <v>757</v>
      </c>
      <c r="E134" s="213" t="s">
        <v>5</v>
      </c>
      <c r="F134" s="248" t="s">
        <v>411</v>
      </c>
      <c r="G134" s="37"/>
      <c r="H134" s="272">
        <f>_xlfn.IFNA(VLOOKUP(A134,ISB!$A$4:$BY$454,67,FALSE),0)</f>
        <v>1222033.9529114021</v>
      </c>
      <c r="I134" s="272">
        <f>_xlfn.IFNA(VLOOKUP(A134,ISB!$A$4:$BY$454,72,FALSE),0)</f>
        <v>-5064.1400000000003</v>
      </c>
      <c r="J134" s="273">
        <f>-_xlfn.IFNA(VLOOKUP(A134,ISB!$A$4:$BY$454,76,FALSE),0)</f>
        <v>-16658.406299999999</v>
      </c>
      <c r="K134" s="273">
        <f>_xlfn.IFNA(VLOOKUP(A134,ISB!$A$4:$BY$454,77,FALSE),0)</f>
        <v>1200311.4066114023</v>
      </c>
      <c r="L134" s="273">
        <f>_xlfn.IFNA(VLOOKUP(A134,'Post 16'!A:AC,13,FALSE),0)+(_xlfn.IFNA(VLOOKUP(A134,'Post 16'!A:AC,25,FALSE),0))</f>
        <v>0</v>
      </c>
      <c r="M134" s="273">
        <f>VLOOKUP(A134,HN!A:P,16,FALSE)</f>
        <v>0</v>
      </c>
      <c r="N134" s="273">
        <f>VLOOKUP(A134,HN!A:T,20,FALSE)</f>
        <v>0</v>
      </c>
      <c r="O134" s="273">
        <f>VLOOKUP(A134,EY!A:O,15,FALSE)</f>
        <v>0</v>
      </c>
      <c r="P134" s="273">
        <f>-VLOOKUP(A134,Adjustments!A:M,11,FALSE)</f>
        <v>-5139.75</v>
      </c>
      <c r="Q134" s="273"/>
      <c r="R134" s="273"/>
      <c r="S134" s="273">
        <f t="shared" si="15"/>
        <v>1195171.6566114023</v>
      </c>
      <c r="T134" s="37"/>
      <c r="U134" s="37">
        <v>99597.638050950191</v>
      </c>
      <c r="V134" s="37">
        <v>99597.638050950191</v>
      </c>
      <c r="W134" s="37">
        <v>99597.638050950191</v>
      </c>
      <c r="X134" s="37">
        <v>99597.64</v>
      </c>
      <c r="Y134" s="37">
        <v>99597.64</v>
      </c>
      <c r="Z134" s="37">
        <f t="shared" si="19"/>
        <v>99597.63780731897</v>
      </c>
      <c r="AA134" s="37">
        <f t="shared" si="18"/>
        <v>99597.64</v>
      </c>
      <c r="AB134" s="37">
        <f t="shared" si="18"/>
        <v>99597.64</v>
      </c>
      <c r="AC134" s="37">
        <f t="shared" si="18"/>
        <v>99597.64</v>
      </c>
      <c r="AD134" s="37">
        <f t="shared" si="18"/>
        <v>99597.64</v>
      </c>
      <c r="AE134" s="37">
        <f t="shared" si="18"/>
        <v>99597.64</v>
      </c>
      <c r="AF134" s="37">
        <f t="shared" si="12"/>
        <v>99597.624651232734</v>
      </c>
      <c r="AG134" s="37">
        <f t="shared" si="13"/>
        <v>1195171.6566114023</v>
      </c>
      <c r="AH134" s="37" t="b">
        <f t="shared" si="14"/>
        <v>1</v>
      </c>
      <c r="AI134" s="37"/>
      <c r="AJ134" s="37"/>
      <c r="AK134" s="37"/>
      <c r="AL134" s="37"/>
      <c r="AM134" s="37"/>
      <c r="AN134" s="37"/>
      <c r="AO134" s="37"/>
      <c r="AP134" s="207"/>
      <c r="AR134" s="37"/>
      <c r="AS134" s="37"/>
      <c r="AT134" s="37"/>
      <c r="AU134" s="37"/>
      <c r="AV134" s="37"/>
      <c r="AW134" s="37"/>
      <c r="AX134" s="37"/>
      <c r="AY134" s="37"/>
      <c r="AZ134" s="37"/>
      <c r="BA134" s="64"/>
    </row>
    <row r="135" spans="1:53">
      <c r="A135" s="231">
        <v>2161</v>
      </c>
      <c r="B135" s="4">
        <v>103249</v>
      </c>
      <c r="C135" s="4" t="s">
        <v>759</v>
      </c>
      <c r="D135" s="4" t="s">
        <v>760</v>
      </c>
      <c r="E135" s="213" t="s">
        <v>5</v>
      </c>
      <c r="F135" s="248" t="s">
        <v>411</v>
      </c>
      <c r="G135" s="37"/>
      <c r="H135" s="272">
        <f>_xlfn.IFNA(VLOOKUP(A135,ISB!$A$4:$BY$454,67,FALSE),0)</f>
        <v>1424273.9558827402</v>
      </c>
      <c r="I135" s="272">
        <f>_xlfn.IFNA(VLOOKUP(A135,ISB!$A$4:$BY$454,72,FALSE),0)</f>
        <v>-6392.85</v>
      </c>
      <c r="J135" s="273">
        <f>-_xlfn.IFNA(VLOOKUP(A135,ISB!$A$4:$BY$454,76,FALSE),0)</f>
        <v>-14190.6602</v>
      </c>
      <c r="K135" s="273">
        <f>_xlfn.IFNA(VLOOKUP(A135,ISB!$A$4:$BY$454,77,FALSE),0)</f>
        <v>1403690.4456827401</v>
      </c>
      <c r="L135" s="273">
        <f>_xlfn.IFNA(VLOOKUP(A135,'Post 16'!A:AC,13,FALSE),0)+(_xlfn.IFNA(VLOOKUP(A135,'Post 16'!A:AC,25,FALSE),0))</f>
        <v>0</v>
      </c>
      <c r="M135" s="273">
        <f>VLOOKUP(A135,HN!A:P,16,FALSE)</f>
        <v>0</v>
      </c>
      <c r="N135" s="273">
        <f>VLOOKUP(A135,HN!A:T,20,FALSE)</f>
        <v>0</v>
      </c>
      <c r="O135" s="273">
        <f>VLOOKUP(A135,EY!A:O,15,FALSE)</f>
        <v>154555.5</v>
      </c>
      <c r="P135" s="273">
        <f>-VLOOKUP(A135,Adjustments!A:M,11,FALSE)</f>
        <v>-5139.75</v>
      </c>
      <c r="Q135" s="273"/>
      <c r="R135" s="273"/>
      <c r="S135" s="273">
        <f t="shared" si="15"/>
        <v>1553106.1956827401</v>
      </c>
      <c r="T135" s="37"/>
      <c r="U135" s="37">
        <v>128661.29130689501</v>
      </c>
      <c r="V135" s="37">
        <v>128661.29130689501</v>
      </c>
      <c r="W135" s="37">
        <v>128661.29130689501</v>
      </c>
      <c r="X135" s="37">
        <v>129680.26</v>
      </c>
      <c r="Y135" s="37">
        <v>129680.26</v>
      </c>
      <c r="Z135" s="37">
        <f t="shared" si="19"/>
        <v>129680.25772025688</v>
      </c>
      <c r="AA135" s="37">
        <f t="shared" si="18"/>
        <v>129680.26</v>
      </c>
      <c r="AB135" s="37">
        <f t="shared" si="18"/>
        <v>129680.26</v>
      </c>
      <c r="AC135" s="37">
        <f t="shared" si="18"/>
        <v>129680.26</v>
      </c>
      <c r="AD135" s="37">
        <f t="shared" si="18"/>
        <v>129680.26</v>
      </c>
      <c r="AE135" s="37">
        <f t="shared" si="18"/>
        <v>129680.26</v>
      </c>
      <c r="AF135" s="37">
        <f t="shared" si="12"/>
        <v>129680.24404179817</v>
      </c>
      <c r="AG135" s="37">
        <f t="shared" si="13"/>
        <v>1553106.1956827401</v>
      </c>
      <c r="AH135" s="37" t="b">
        <f t="shared" si="14"/>
        <v>1</v>
      </c>
      <c r="AI135" s="37"/>
      <c r="AJ135" s="37"/>
      <c r="AK135" s="37"/>
      <c r="AL135" s="37"/>
      <c r="AM135" s="37"/>
      <c r="AN135" s="37"/>
      <c r="AO135" s="37"/>
      <c r="AP135" s="207"/>
      <c r="AR135" s="37"/>
      <c r="AS135" s="37"/>
      <c r="AT135" s="37"/>
      <c r="AU135" s="37"/>
      <c r="AV135" s="37"/>
      <c r="AW135" s="37"/>
      <c r="AX135" s="37"/>
      <c r="AY135" s="37"/>
      <c r="AZ135" s="37"/>
      <c r="BA135" s="64"/>
    </row>
    <row r="136" spans="1:53">
      <c r="A136" s="231">
        <v>1018</v>
      </c>
      <c r="B136" s="4">
        <v>103131</v>
      </c>
      <c r="C136" s="4" t="s">
        <v>762</v>
      </c>
      <c r="D136" s="4" t="s">
        <v>763</v>
      </c>
      <c r="E136" s="213" t="s">
        <v>180</v>
      </c>
      <c r="F136" s="248" t="s">
        <v>411</v>
      </c>
      <c r="G136" s="37"/>
      <c r="H136" s="272">
        <f>_xlfn.IFNA(VLOOKUP(A136,ISB!$A$4:$BY$454,67,FALSE),0)</f>
        <v>0</v>
      </c>
      <c r="I136" s="272">
        <f>_xlfn.IFNA(VLOOKUP(A136,ISB!$A$4:$BY$454,72,FALSE),0)</f>
        <v>0</v>
      </c>
      <c r="J136" s="273">
        <f>-_xlfn.IFNA(VLOOKUP(A136,ISB!$A$4:$BY$454,76,FALSE),0)</f>
        <v>0</v>
      </c>
      <c r="K136" s="273">
        <f>_xlfn.IFNA(VLOOKUP(A136,ISB!$A$4:$BY$454,77,FALSE),0)</f>
        <v>0</v>
      </c>
      <c r="L136" s="273">
        <f>_xlfn.IFNA(VLOOKUP(A136,'Post 16'!A:AC,13,FALSE),0)+(_xlfn.IFNA(VLOOKUP(A136,'Post 16'!A:AC,25,FALSE),0))</f>
        <v>0</v>
      </c>
      <c r="M136" s="273">
        <f>VLOOKUP(A136,HN!A:P,16,FALSE)</f>
        <v>0</v>
      </c>
      <c r="N136" s="273">
        <f>VLOOKUP(A136,HN!A:T,20,FALSE)</f>
        <v>0</v>
      </c>
      <c r="O136" s="273">
        <f>VLOOKUP(A136,EY!A:O,15,FALSE)</f>
        <v>928397.67666666675</v>
      </c>
      <c r="P136" s="273">
        <f>-VLOOKUP(A136,Adjustments!A:M,11,FALSE)</f>
        <v>-3291.75</v>
      </c>
      <c r="Q136" s="273"/>
      <c r="R136" s="273"/>
      <c r="S136" s="273">
        <f t="shared" si="15"/>
        <v>925105.92666666675</v>
      </c>
      <c r="T136" s="37"/>
      <c r="U136" s="37">
        <v>59493.148185870581</v>
      </c>
      <c r="V136" s="37">
        <v>59493.148185870581</v>
      </c>
      <c r="W136" s="37">
        <v>59493.148185870581</v>
      </c>
      <c r="X136" s="37">
        <v>82958.5</v>
      </c>
      <c r="Y136" s="37">
        <v>82958.5</v>
      </c>
      <c r="Z136" s="37">
        <f t="shared" si="19"/>
        <v>82958.49776363188</v>
      </c>
      <c r="AA136" s="37">
        <f t="shared" si="18"/>
        <v>82958.5</v>
      </c>
      <c r="AB136" s="37">
        <f t="shared" si="18"/>
        <v>82958.5</v>
      </c>
      <c r="AC136" s="37">
        <f t="shared" si="18"/>
        <v>82958.5</v>
      </c>
      <c r="AD136" s="37">
        <f t="shared" si="18"/>
        <v>82958.5</v>
      </c>
      <c r="AE136" s="37">
        <f t="shared" si="18"/>
        <v>82958.5</v>
      </c>
      <c r="AF136" s="37">
        <f t="shared" si="12"/>
        <v>82958.484345423174</v>
      </c>
      <c r="AG136" s="37">
        <f t="shared" si="13"/>
        <v>925105.92666666675</v>
      </c>
      <c r="AH136" s="37" t="b">
        <f t="shared" si="14"/>
        <v>1</v>
      </c>
      <c r="AI136" s="37"/>
      <c r="AJ136" s="37"/>
      <c r="AK136" s="37"/>
      <c r="AL136" s="37"/>
      <c r="AM136" s="37"/>
      <c r="AN136" s="37"/>
      <c r="AO136" s="37"/>
      <c r="AP136" s="207"/>
      <c r="AR136" s="37"/>
      <c r="AS136" s="37"/>
      <c r="AT136" s="37"/>
      <c r="AU136" s="37"/>
      <c r="AV136" s="37"/>
      <c r="AW136" s="37"/>
      <c r="AX136" s="37"/>
      <c r="AY136" s="37"/>
      <c r="AZ136" s="37"/>
      <c r="BA136" s="64"/>
    </row>
    <row r="137" spans="1:53">
      <c r="A137" s="231">
        <v>1000</v>
      </c>
      <c r="B137" s="4">
        <v>137796</v>
      </c>
      <c r="C137" s="4" t="s">
        <v>765</v>
      </c>
      <c r="D137" s="4" t="s">
        <v>766</v>
      </c>
      <c r="E137" s="213" t="s">
        <v>180</v>
      </c>
      <c r="F137" s="248" t="s">
        <v>411</v>
      </c>
      <c r="G137" s="37"/>
      <c r="H137" s="272">
        <f>_xlfn.IFNA(VLOOKUP(A137,ISB!$A$4:$BY$454,67,FALSE),0)</f>
        <v>0</v>
      </c>
      <c r="I137" s="272">
        <f>_xlfn.IFNA(VLOOKUP(A137,ISB!$A$4:$BY$454,72,FALSE),0)</f>
        <v>0</v>
      </c>
      <c r="J137" s="273">
        <f>-_xlfn.IFNA(VLOOKUP(A137,ISB!$A$4:$BY$454,76,FALSE),0)</f>
        <v>0</v>
      </c>
      <c r="K137" s="273">
        <f>_xlfn.IFNA(VLOOKUP(A137,ISB!$A$4:$BY$454,77,FALSE),0)</f>
        <v>0</v>
      </c>
      <c r="L137" s="273">
        <f>_xlfn.IFNA(VLOOKUP(A137,'Post 16'!A:AC,13,FALSE),0)+(_xlfn.IFNA(VLOOKUP(A137,'Post 16'!A:AC,25,FALSE),0))</f>
        <v>0</v>
      </c>
      <c r="M137" s="273">
        <f>VLOOKUP(A137,HN!A:P,16,FALSE)</f>
        <v>0</v>
      </c>
      <c r="N137" s="273">
        <f>VLOOKUP(A137,HN!A:T,20,FALSE)</f>
        <v>0</v>
      </c>
      <c r="O137" s="273">
        <f>VLOOKUP(A137,EY!A:O,15,FALSE)</f>
        <v>495484.45666666672</v>
      </c>
      <c r="P137" s="273">
        <f>-VLOOKUP(A137,Adjustments!A:M,11,FALSE)</f>
        <v>-3291.75</v>
      </c>
      <c r="Q137" s="273"/>
      <c r="R137" s="273"/>
      <c r="S137" s="273">
        <f t="shared" si="15"/>
        <v>492192.70666666672</v>
      </c>
      <c r="T137" s="37"/>
      <c r="U137" s="37">
        <v>35820.056609411171</v>
      </c>
      <c r="V137" s="37">
        <v>35820.056609411171</v>
      </c>
      <c r="W137" s="37">
        <v>35820.056609411171</v>
      </c>
      <c r="X137" s="37">
        <v>42748.06</v>
      </c>
      <c r="Y137" s="37">
        <v>42748.06</v>
      </c>
      <c r="Z137" s="37">
        <f t="shared" si="19"/>
        <v>42748.059604804148</v>
      </c>
      <c r="AA137" s="37">
        <f t="shared" si="18"/>
        <v>42748.06</v>
      </c>
      <c r="AB137" s="37">
        <f t="shared" si="18"/>
        <v>42748.06</v>
      </c>
      <c r="AC137" s="37">
        <f t="shared" si="18"/>
        <v>42748.06</v>
      </c>
      <c r="AD137" s="37">
        <f t="shared" si="18"/>
        <v>42748.06</v>
      </c>
      <c r="AE137" s="37">
        <f t="shared" si="18"/>
        <v>42748.06</v>
      </c>
      <c r="AF137" s="37">
        <f t="shared" si="12"/>
        <v>42748.057233629108</v>
      </c>
      <c r="AG137" s="37">
        <f t="shared" si="13"/>
        <v>492192.70666666672</v>
      </c>
      <c r="AH137" s="37" t="b">
        <f t="shared" si="14"/>
        <v>1</v>
      </c>
      <c r="AI137" s="37"/>
      <c r="AJ137" s="37"/>
      <c r="AK137" s="37"/>
      <c r="AL137" s="37"/>
      <c r="AM137" s="37"/>
      <c r="AN137" s="37"/>
      <c r="AO137" s="37"/>
      <c r="AP137" s="207"/>
      <c r="AR137" s="37"/>
      <c r="AS137" s="37"/>
      <c r="AT137" s="37"/>
      <c r="AU137" s="37"/>
      <c r="AV137" s="37"/>
      <c r="AW137" s="37"/>
      <c r="AX137" s="37"/>
      <c r="AY137" s="37"/>
      <c r="AZ137" s="37"/>
      <c r="BA137" s="64"/>
    </row>
    <row r="138" spans="1:53">
      <c r="A138" s="231">
        <v>2169</v>
      </c>
      <c r="B138" s="4">
        <v>103252</v>
      </c>
      <c r="C138" s="4" t="s">
        <v>768</v>
      </c>
      <c r="D138" s="4" t="s">
        <v>769</v>
      </c>
      <c r="E138" s="213" t="s">
        <v>5</v>
      </c>
      <c r="F138" s="248" t="s">
        <v>411</v>
      </c>
      <c r="G138" s="37"/>
      <c r="H138" s="272">
        <f>_xlfn.IFNA(VLOOKUP(A138,ISB!$A$4:$BY$454,67,FALSE),0)</f>
        <v>2261051.714875469</v>
      </c>
      <c r="I138" s="272">
        <f>_xlfn.IFNA(VLOOKUP(A138,ISB!$A$4:$BY$454,72,FALSE),0)</f>
        <v>-9601.81</v>
      </c>
      <c r="J138" s="273">
        <f>-_xlfn.IFNA(VLOOKUP(A138,ISB!$A$4:$BY$454,76,FALSE),0)</f>
        <v>-29679.820800000001</v>
      </c>
      <c r="K138" s="273">
        <f>_xlfn.IFNA(VLOOKUP(A138,ISB!$A$4:$BY$454,77,FALSE),0)</f>
        <v>2221770.0840754691</v>
      </c>
      <c r="L138" s="273">
        <f>_xlfn.IFNA(VLOOKUP(A138,'Post 16'!A:AC,13,FALSE),0)+(_xlfn.IFNA(VLOOKUP(A138,'Post 16'!A:AC,25,FALSE),0))</f>
        <v>0</v>
      </c>
      <c r="M138" s="273">
        <f>VLOOKUP(A138,HN!A:P,16,FALSE)</f>
        <v>0</v>
      </c>
      <c r="N138" s="273">
        <f>VLOOKUP(A138,HN!A:T,20,FALSE)</f>
        <v>0</v>
      </c>
      <c r="O138" s="273">
        <f>VLOOKUP(A138,EY!A:O,15,FALSE)</f>
        <v>141825.9</v>
      </c>
      <c r="P138" s="273">
        <f>-VLOOKUP(A138,Adjustments!A:M,11,FALSE)</f>
        <v>-9471</v>
      </c>
      <c r="Q138" s="273"/>
      <c r="R138" s="273"/>
      <c r="S138" s="273">
        <f t="shared" si="15"/>
        <v>2354124.984075469</v>
      </c>
      <c r="T138" s="37"/>
      <c r="U138" s="37">
        <v>195460.29450628909</v>
      </c>
      <c r="V138" s="37">
        <v>195460.29450628909</v>
      </c>
      <c r="W138" s="37">
        <v>195460.29450628909</v>
      </c>
      <c r="X138" s="37">
        <v>196416.01</v>
      </c>
      <c r="Y138" s="37">
        <v>196416.01</v>
      </c>
      <c r="Z138" s="37">
        <f t="shared" si="19"/>
        <v>196416.01131957519</v>
      </c>
      <c r="AA138" s="37">
        <f t="shared" si="18"/>
        <v>196416.01</v>
      </c>
      <c r="AB138" s="37">
        <f t="shared" si="18"/>
        <v>196416.01</v>
      </c>
      <c r="AC138" s="37">
        <f t="shared" si="18"/>
        <v>196416.01</v>
      </c>
      <c r="AD138" s="37">
        <f t="shared" si="18"/>
        <v>196416.01</v>
      </c>
      <c r="AE138" s="37">
        <f t="shared" si="18"/>
        <v>196416.01</v>
      </c>
      <c r="AF138" s="37">
        <f t="shared" ref="AF138:AF201" si="20">($S138-SUM($U138:$AE138))/1</f>
        <v>196416.01923702657</v>
      </c>
      <c r="AG138" s="37">
        <f t="shared" ref="AG138:AG201" si="21">SUM(U138:AF138)</f>
        <v>2354124.984075469</v>
      </c>
      <c r="AH138" s="37" t="b">
        <f t="shared" ref="AH138:AH201" si="22">IF(AG138=S138,TRUE,FALSE)</f>
        <v>1</v>
      </c>
      <c r="AI138" s="37"/>
      <c r="AJ138" s="37"/>
      <c r="AK138" s="37"/>
      <c r="AL138" s="37"/>
      <c r="AM138" s="37"/>
      <c r="AN138" s="37"/>
      <c r="AO138" s="37"/>
      <c r="AP138" s="207"/>
      <c r="AR138" s="37"/>
      <c r="AS138" s="37"/>
      <c r="AT138" s="37"/>
      <c r="AU138" s="37"/>
      <c r="AV138" s="37"/>
      <c r="AW138" s="37"/>
      <c r="AX138" s="37"/>
      <c r="AY138" s="37"/>
      <c r="AZ138" s="37"/>
      <c r="BA138" s="64"/>
    </row>
    <row r="139" spans="1:53">
      <c r="A139" s="231">
        <v>7047</v>
      </c>
      <c r="B139" s="4">
        <v>103623</v>
      </c>
      <c r="C139" s="4" t="s">
        <v>771</v>
      </c>
      <c r="D139" s="4" t="s">
        <v>772</v>
      </c>
      <c r="E139" s="213" t="s">
        <v>1093</v>
      </c>
      <c r="F139" s="248" t="s">
        <v>411</v>
      </c>
      <c r="G139" s="37"/>
      <c r="H139" s="272">
        <f>_xlfn.IFNA(VLOOKUP(A139,ISB!$A$4:$BY$454,67,FALSE),0)</f>
        <v>0</v>
      </c>
      <c r="I139" s="272">
        <f>_xlfn.IFNA(VLOOKUP(A139,ISB!$A$4:$BY$454,72,FALSE),0)</f>
        <v>0</v>
      </c>
      <c r="J139" s="273">
        <f>-_xlfn.IFNA(VLOOKUP(A139,ISB!$A$4:$BY$454,76,FALSE),0)</f>
        <v>0</v>
      </c>
      <c r="K139" s="273">
        <f>_xlfn.IFNA(VLOOKUP(A139,ISB!$A$4:$BY$454,77,FALSE),0)</f>
        <v>0</v>
      </c>
      <c r="L139" s="273">
        <f>_xlfn.IFNA(VLOOKUP(A139,'Post 16'!A:AC,13,FALSE),0)+(_xlfn.IFNA(VLOOKUP(A139,'Post 16'!A:AC,25,FALSE),0))</f>
        <v>0</v>
      </c>
      <c r="M139" s="273">
        <f>VLOOKUP(A139,HN!A:P,16,FALSE)</f>
        <v>2414622.8126675412</v>
      </c>
      <c r="N139" s="273">
        <f>VLOOKUP(A139,HN!A:T,20,FALSE)</f>
        <v>0</v>
      </c>
      <c r="O139" s="273">
        <f>VLOOKUP(A139,EY!A:O,15,FALSE)</f>
        <v>0</v>
      </c>
      <c r="P139" s="273">
        <f>-VLOOKUP(A139,Adjustments!A:M,11,FALSE)</f>
        <v>-3291.75</v>
      </c>
      <c r="Q139" s="273"/>
      <c r="R139" s="273">
        <v>-17555.580000000002</v>
      </c>
      <c r="S139" s="273">
        <f t="shared" ref="S139:S202" si="23">SUM(K139:R139)</f>
        <v>2393775.4826675411</v>
      </c>
      <c r="T139" s="37"/>
      <c r="U139" s="37">
        <v>199481.29022229509</v>
      </c>
      <c r="V139" s="37">
        <v>199481.29022229509</v>
      </c>
      <c r="W139" s="37">
        <v>199481.29022229509</v>
      </c>
      <c r="X139" s="37">
        <v>199481.29</v>
      </c>
      <c r="Y139" s="37">
        <v>199481.29</v>
      </c>
      <c r="Z139" s="37">
        <f t="shared" ref="Z139:Z175" si="24">($S139-SUM($U139:$X139))/8</f>
        <v>199481.29025008198</v>
      </c>
      <c r="AA139" s="37">
        <f t="shared" si="18"/>
        <v>199481.29</v>
      </c>
      <c r="AB139" s="37">
        <f t="shared" si="18"/>
        <v>199481.29</v>
      </c>
      <c r="AC139" s="37">
        <f t="shared" si="18"/>
        <v>199481.29</v>
      </c>
      <c r="AD139" s="37">
        <f t="shared" si="18"/>
        <v>199481.29</v>
      </c>
      <c r="AE139" s="37">
        <f t="shared" si="18"/>
        <v>199481.29</v>
      </c>
      <c r="AF139" s="37">
        <f t="shared" si="20"/>
        <v>199481.29175057355</v>
      </c>
      <c r="AG139" s="37">
        <f t="shared" si="21"/>
        <v>2393775.4826675411</v>
      </c>
      <c r="AH139" s="37" t="b">
        <f t="shared" si="22"/>
        <v>1</v>
      </c>
      <c r="AI139" s="37"/>
      <c r="AJ139" s="37"/>
      <c r="AK139" s="37"/>
      <c r="AL139" s="37"/>
      <c r="AM139" s="37"/>
      <c r="AN139" s="37"/>
      <c r="AO139" s="37"/>
      <c r="AP139" s="207"/>
      <c r="AR139" s="37"/>
      <c r="AS139" s="37"/>
      <c r="AT139" s="37"/>
      <c r="AU139" s="37"/>
      <c r="AV139" s="37"/>
      <c r="AW139" s="37"/>
      <c r="AX139" s="37"/>
      <c r="AY139" s="37"/>
      <c r="AZ139" s="37"/>
      <c r="BA139" s="64"/>
    </row>
    <row r="140" spans="1:53">
      <c r="A140" s="231">
        <v>3381</v>
      </c>
      <c r="B140" s="4">
        <v>103466</v>
      </c>
      <c r="C140" s="4" t="s">
        <v>774</v>
      </c>
      <c r="D140" s="4" t="s">
        <v>775</v>
      </c>
      <c r="E140" s="213" t="s">
        <v>5</v>
      </c>
      <c r="F140" s="248" t="s">
        <v>411</v>
      </c>
      <c r="G140" s="37"/>
      <c r="H140" s="272">
        <f>_xlfn.IFNA(VLOOKUP(A140,ISB!$A$4:$BY$454,67,FALSE),0)</f>
        <v>1111415.2361640208</v>
      </c>
      <c r="I140" s="272">
        <f>_xlfn.IFNA(VLOOKUP(A140,ISB!$A$4:$BY$454,72,FALSE),0)</f>
        <v>-5289.77</v>
      </c>
      <c r="J140" s="273">
        <f>-_xlfn.IFNA(VLOOKUP(A140,ISB!$A$4:$BY$454,76,FALSE),0)</f>
        <v>-3974.9760000000001</v>
      </c>
      <c r="K140" s="273">
        <f>_xlfn.IFNA(VLOOKUP(A140,ISB!$A$4:$BY$454,77,FALSE),0)</f>
        <v>1102150.4901640208</v>
      </c>
      <c r="L140" s="273">
        <f>_xlfn.IFNA(VLOOKUP(A140,'Post 16'!A:AC,13,FALSE),0)+(_xlfn.IFNA(VLOOKUP(A140,'Post 16'!A:AC,25,FALSE),0))</f>
        <v>0</v>
      </c>
      <c r="M140" s="273">
        <f>VLOOKUP(A140,HN!A:P,16,FALSE)</f>
        <v>0</v>
      </c>
      <c r="N140" s="273">
        <f>VLOOKUP(A140,HN!A:T,20,FALSE)</f>
        <v>0</v>
      </c>
      <c r="O140" s="273">
        <f>VLOOKUP(A140,EY!A:O,15,FALSE)</f>
        <v>0</v>
      </c>
      <c r="P140" s="273">
        <f>-VLOOKUP(A140,Adjustments!A:M,11,FALSE)</f>
        <v>0</v>
      </c>
      <c r="Q140" s="273"/>
      <c r="R140" s="273"/>
      <c r="S140" s="273">
        <f t="shared" si="23"/>
        <v>1102150.4901640208</v>
      </c>
      <c r="T140" s="37"/>
      <c r="U140" s="37">
        <v>91845.874180335071</v>
      </c>
      <c r="V140" s="37">
        <v>91845.874180335071</v>
      </c>
      <c r="W140" s="37">
        <v>91845.874180335071</v>
      </c>
      <c r="X140" s="37">
        <v>91845.87</v>
      </c>
      <c r="Y140" s="37">
        <v>91845.87</v>
      </c>
      <c r="Z140" s="37">
        <f t="shared" si="24"/>
        <v>91845.874702876958</v>
      </c>
      <c r="AA140" s="37">
        <f t="shared" si="18"/>
        <v>91845.88</v>
      </c>
      <c r="AB140" s="37">
        <f t="shared" si="18"/>
        <v>91845.88</v>
      </c>
      <c r="AC140" s="37">
        <f t="shared" si="18"/>
        <v>91845.88</v>
      </c>
      <c r="AD140" s="37">
        <f t="shared" si="18"/>
        <v>91845.88</v>
      </c>
      <c r="AE140" s="37">
        <f t="shared" si="18"/>
        <v>91845.88</v>
      </c>
      <c r="AF140" s="37">
        <f t="shared" si="20"/>
        <v>91845.852920138626</v>
      </c>
      <c r="AG140" s="37">
        <f t="shared" si="21"/>
        <v>1102150.4901640208</v>
      </c>
      <c r="AH140" s="37" t="b">
        <f t="shared" si="22"/>
        <v>1</v>
      </c>
      <c r="AI140" s="37"/>
      <c r="AJ140" s="37"/>
      <c r="AK140" s="37"/>
      <c r="AL140" s="37"/>
      <c r="AM140" s="37"/>
      <c r="AN140" s="37"/>
      <c r="AO140" s="37"/>
      <c r="AP140" s="207"/>
      <c r="AR140" s="37"/>
      <c r="AS140" s="37"/>
      <c r="AT140" s="37"/>
      <c r="AU140" s="37"/>
      <c r="AV140" s="37"/>
      <c r="AW140" s="37"/>
      <c r="AX140" s="37"/>
      <c r="AY140" s="37"/>
      <c r="AZ140" s="37"/>
      <c r="BA140" s="64"/>
    </row>
    <row r="141" spans="1:53">
      <c r="A141" s="231">
        <v>3329</v>
      </c>
      <c r="B141" s="4">
        <v>103431</v>
      </c>
      <c r="C141" s="4" t="s">
        <v>777</v>
      </c>
      <c r="D141" s="4" t="s">
        <v>778</v>
      </c>
      <c r="E141" s="213" t="s">
        <v>5</v>
      </c>
      <c r="F141" s="248" t="s">
        <v>411</v>
      </c>
      <c r="G141" s="37"/>
      <c r="H141" s="272">
        <f>_xlfn.IFNA(VLOOKUP(A141,ISB!$A$4:$BY$454,67,FALSE),0)</f>
        <v>1216075.4251534846</v>
      </c>
      <c r="I141" s="272">
        <f>_xlfn.IFNA(VLOOKUP(A141,ISB!$A$4:$BY$454,72,FALSE),0)</f>
        <v>-5214.5600000000004</v>
      </c>
      <c r="J141" s="273">
        <f>-_xlfn.IFNA(VLOOKUP(A141,ISB!$A$4:$BY$454,76,FALSE),0)</f>
        <v>-3444.9792000000002</v>
      </c>
      <c r="K141" s="273">
        <f>_xlfn.IFNA(VLOOKUP(A141,ISB!$A$4:$BY$454,77,FALSE),0)</f>
        <v>1207415.8859534846</v>
      </c>
      <c r="L141" s="273">
        <f>_xlfn.IFNA(VLOOKUP(A141,'Post 16'!A:AC,13,FALSE),0)+(_xlfn.IFNA(VLOOKUP(A141,'Post 16'!A:AC,25,FALSE),0))</f>
        <v>0</v>
      </c>
      <c r="M141" s="273">
        <f>VLOOKUP(A141,HN!A:P,16,FALSE)</f>
        <v>0</v>
      </c>
      <c r="N141" s="273">
        <f>VLOOKUP(A141,HN!A:T,20,FALSE)</f>
        <v>0</v>
      </c>
      <c r="O141" s="273">
        <f>VLOOKUP(A141,EY!A:O,15,FALSE)</f>
        <v>119165.90000000001</v>
      </c>
      <c r="P141" s="273">
        <f>-VLOOKUP(A141,Adjustments!A:M,11,FALSE)</f>
        <v>-5139.75</v>
      </c>
      <c r="Q141" s="273"/>
      <c r="R141" s="273"/>
      <c r="S141" s="273">
        <f t="shared" si="23"/>
        <v>1321442.0359534845</v>
      </c>
      <c r="T141" s="37"/>
      <c r="U141" s="37">
        <v>110214.99228183801</v>
      </c>
      <c r="V141" s="37">
        <v>110214.99228183801</v>
      </c>
      <c r="W141" s="37">
        <v>110214.99228183801</v>
      </c>
      <c r="X141" s="37">
        <v>110088.56</v>
      </c>
      <c r="Y141" s="37">
        <v>110088.56</v>
      </c>
      <c r="Z141" s="37">
        <f t="shared" si="24"/>
        <v>110088.5623884963</v>
      </c>
      <c r="AA141" s="37">
        <f t="shared" ref="AA141:AE191" si="25">ROUND((($S141-SUM($U141:$Y141))/7),2)</f>
        <v>110088.56</v>
      </c>
      <c r="AB141" s="37">
        <f t="shared" si="25"/>
        <v>110088.56</v>
      </c>
      <c r="AC141" s="37">
        <f t="shared" si="25"/>
        <v>110088.56</v>
      </c>
      <c r="AD141" s="37">
        <f t="shared" si="25"/>
        <v>110088.56</v>
      </c>
      <c r="AE141" s="37">
        <f t="shared" si="25"/>
        <v>110088.56</v>
      </c>
      <c r="AF141" s="37">
        <f t="shared" si="20"/>
        <v>110088.57671947381</v>
      </c>
      <c r="AG141" s="37">
        <f t="shared" si="21"/>
        <v>1321442.0359534845</v>
      </c>
      <c r="AH141" s="37" t="b">
        <f t="shared" si="22"/>
        <v>1</v>
      </c>
      <c r="AI141" s="37"/>
      <c r="AJ141" s="37"/>
      <c r="AK141" s="37"/>
      <c r="AL141" s="37"/>
      <c r="AM141" s="37"/>
      <c r="AN141" s="37"/>
      <c r="AO141" s="37"/>
      <c r="AP141" s="207"/>
      <c r="AR141" s="37"/>
      <c r="AS141" s="37"/>
      <c r="AT141" s="37"/>
      <c r="AU141" s="37"/>
      <c r="AV141" s="37"/>
      <c r="AW141" s="37"/>
      <c r="AX141" s="37"/>
      <c r="AY141" s="37"/>
      <c r="AZ141" s="37"/>
      <c r="BA141" s="64"/>
    </row>
    <row r="142" spans="1:53">
      <c r="A142" s="231">
        <v>2183</v>
      </c>
      <c r="B142" s="4">
        <v>103261</v>
      </c>
      <c r="C142" s="4" t="s">
        <v>780</v>
      </c>
      <c r="D142" s="4" t="s">
        <v>781</v>
      </c>
      <c r="E142" s="213" t="s">
        <v>5</v>
      </c>
      <c r="F142" s="248" t="s">
        <v>411</v>
      </c>
      <c r="G142" s="37"/>
      <c r="H142" s="272">
        <f>_xlfn.IFNA(VLOOKUP(A142,ISB!$A$4:$BY$454,67,FALSE),0)</f>
        <v>2097129.0129185112</v>
      </c>
      <c r="I142" s="272">
        <f>_xlfn.IFNA(VLOOKUP(A142,ISB!$A$4:$BY$454,72,FALSE),0)</f>
        <v>-8749.43</v>
      </c>
      <c r="J142" s="273">
        <f>-_xlfn.IFNA(VLOOKUP(A142,ISB!$A$4:$BY$454,76,FALSE),0)</f>
        <v>-37394.067600000002</v>
      </c>
      <c r="K142" s="273">
        <f>_xlfn.IFNA(VLOOKUP(A142,ISB!$A$4:$BY$454,77,FALSE),0)</f>
        <v>2050985.5153185113</v>
      </c>
      <c r="L142" s="273">
        <f>_xlfn.IFNA(VLOOKUP(A142,'Post 16'!A:AC,13,FALSE),0)+(_xlfn.IFNA(VLOOKUP(A142,'Post 16'!A:AC,25,FALSE),0))</f>
        <v>0</v>
      </c>
      <c r="M142" s="273">
        <f>VLOOKUP(A142,HN!A:P,16,FALSE)</f>
        <v>0</v>
      </c>
      <c r="N142" s="273">
        <f>VLOOKUP(A142,HN!A:T,20,FALSE)</f>
        <v>0</v>
      </c>
      <c r="O142" s="273">
        <f>VLOOKUP(A142,EY!A:O,15,FALSE)</f>
        <v>0</v>
      </c>
      <c r="P142" s="273">
        <f>-VLOOKUP(A142,Adjustments!A:M,11,FALSE)</f>
        <v>-9471</v>
      </c>
      <c r="Q142" s="273"/>
      <c r="R142" s="273"/>
      <c r="S142" s="273">
        <f t="shared" si="23"/>
        <v>2041514.5153185113</v>
      </c>
      <c r="T142" s="37"/>
      <c r="U142" s="37">
        <v>170126.20960987595</v>
      </c>
      <c r="V142" s="37">
        <v>170126.20960987595</v>
      </c>
      <c r="W142" s="37">
        <v>170126.20960987595</v>
      </c>
      <c r="X142" s="37">
        <v>170126.21</v>
      </c>
      <c r="Y142" s="37">
        <v>170126.21</v>
      </c>
      <c r="Z142" s="37">
        <f t="shared" si="24"/>
        <v>170126.20956111042</v>
      </c>
      <c r="AA142" s="37">
        <f t="shared" si="25"/>
        <v>170126.21</v>
      </c>
      <c r="AB142" s="37">
        <f t="shared" si="25"/>
        <v>170126.21</v>
      </c>
      <c r="AC142" s="37">
        <f t="shared" si="25"/>
        <v>170126.21</v>
      </c>
      <c r="AD142" s="37">
        <f t="shared" si="25"/>
        <v>170126.21</v>
      </c>
      <c r="AE142" s="37">
        <f t="shared" si="25"/>
        <v>170126.21</v>
      </c>
      <c r="AF142" s="37">
        <f t="shared" si="20"/>
        <v>170126.20692777331</v>
      </c>
      <c r="AG142" s="37">
        <f t="shared" si="21"/>
        <v>2041514.5153185113</v>
      </c>
      <c r="AH142" s="37" t="b">
        <f t="shared" si="22"/>
        <v>1</v>
      </c>
      <c r="AI142" s="37"/>
      <c r="AJ142" s="37"/>
      <c r="AK142" s="37"/>
      <c r="AL142" s="37"/>
      <c r="AM142" s="37"/>
      <c r="AN142" s="37"/>
      <c r="AO142" s="37"/>
      <c r="AP142" s="207"/>
      <c r="AR142" s="37"/>
      <c r="AS142" s="37"/>
      <c r="AT142" s="37"/>
      <c r="AU142" s="37"/>
      <c r="AV142" s="37"/>
      <c r="AW142" s="37"/>
      <c r="AX142" s="37"/>
      <c r="AY142" s="37"/>
      <c r="AZ142" s="37"/>
      <c r="BA142" s="64"/>
    </row>
    <row r="143" spans="1:53">
      <c r="A143" s="231">
        <v>3331</v>
      </c>
      <c r="B143" s="4">
        <v>103433</v>
      </c>
      <c r="C143" s="4" t="s">
        <v>786</v>
      </c>
      <c r="D143" s="4" t="s">
        <v>787</v>
      </c>
      <c r="E143" s="213" t="s">
        <v>5</v>
      </c>
      <c r="F143" s="248" t="s">
        <v>411</v>
      </c>
      <c r="G143" s="37"/>
      <c r="H143" s="272">
        <f>_xlfn.IFNA(VLOOKUP(A143,ISB!$A$4:$BY$454,67,FALSE),0)</f>
        <v>1236650.7100052682</v>
      </c>
      <c r="I143" s="272">
        <f>_xlfn.IFNA(VLOOKUP(A143,ISB!$A$4:$BY$454,72,FALSE),0)</f>
        <v>-5314.84</v>
      </c>
      <c r="J143" s="273">
        <f>-_xlfn.IFNA(VLOOKUP(A143,ISB!$A$4:$BY$454,76,FALSE),0)</f>
        <v>-8213.5599000000002</v>
      </c>
      <c r="K143" s="273">
        <f>_xlfn.IFNA(VLOOKUP(A143,ISB!$A$4:$BY$454,77,FALSE),0)</f>
        <v>1223122.3101052681</v>
      </c>
      <c r="L143" s="273">
        <f>_xlfn.IFNA(VLOOKUP(A143,'Post 16'!A:AC,13,FALSE),0)+(_xlfn.IFNA(VLOOKUP(A143,'Post 16'!A:AC,25,FALSE),0))</f>
        <v>0</v>
      </c>
      <c r="M143" s="273">
        <f>VLOOKUP(A143,HN!A:P,16,FALSE)</f>
        <v>0</v>
      </c>
      <c r="N143" s="273">
        <f>VLOOKUP(A143,HN!A:T,20,FALSE)</f>
        <v>0</v>
      </c>
      <c r="O143" s="273">
        <f>VLOOKUP(A143,EY!A:O,15,FALSE)</f>
        <v>131094</v>
      </c>
      <c r="P143" s="273">
        <f>-VLOOKUP(A143,Adjustments!A:M,11,FALSE)</f>
        <v>0</v>
      </c>
      <c r="Q143" s="273"/>
      <c r="R143" s="273"/>
      <c r="S143" s="273">
        <f t="shared" si="23"/>
        <v>1354216.3101052681</v>
      </c>
      <c r="T143" s="37"/>
      <c r="U143" s="37">
        <v>112075.13909968144</v>
      </c>
      <c r="V143" s="37">
        <v>112075.13909968144</v>
      </c>
      <c r="W143" s="37">
        <v>112075.13909968144</v>
      </c>
      <c r="X143" s="37">
        <v>113110.1</v>
      </c>
      <c r="Y143" s="37">
        <v>113110.1</v>
      </c>
      <c r="Z143" s="37">
        <f t="shared" si="24"/>
        <v>113110.09910077798</v>
      </c>
      <c r="AA143" s="37">
        <f t="shared" si="25"/>
        <v>113110.1</v>
      </c>
      <c r="AB143" s="37">
        <f t="shared" si="25"/>
        <v>113110.1</v>
      </c>
      <c r="AC143" s="37">
        <f t="shared" si="25"/>
        <v>113110.1</v>
      </c>
      <c r="AD143" s="37">
        <f t="shared" si="25"/>
        <v>113110.1</v>
      </c>
      <c r="AE143" s="37">
        <f t="shared" si="25"/>
        <v>113110.1</v>
      </c>
      <c r="AF143" s="37">
        <f t="shared" si="20"/>
        <v>113110.09370544576</v>
      </c>
      <c r="AG143" s="37">
        <f t="shared" si="21"/>
        <v>1354216.3101052681</v>
      </c>
      <c r="AH143" s="37" t="b">
        <f t="shared" si="22"/>
        <v>1</v>
      </c>
      <c r="AI143" s="37"/>
      <c r="AJ143" s="37"/>
      <c r="AK143" s="37"/>
      <c r="AL143" s="37"/>
      <c r="AM143" s="37"/>
      <c r="AN143" s="37"/>
      <c r="AO143" s="37"/>
      <c r="AP143" s="207"/>
      <c r="AR143" s="37"/>
      <c r="AS143" s="37"/>
      <c r="AT143" s="37"/>
      <c r="AU143" s="37"/>
      <c r="AV143" s="37"/>
      <c r="AW143" s="37"/>
      <c r="AX143" s="37"/>
      <c r="AY143" s="37"/>
      <c r="AZ143" s="37"/>
      <c r="BA143" s="64"/>
    </row>
    <row r="144" spans="1:53">
      <c r="A144" s="231">
        <v>3406</v>
      </c>
      <c r="B144" s="4">
        <v>103476</v>
      </c>
      <c r="C144" s="4" t="s">
        <v>789</v>
      </c>
      <c r="D144" s="4" t="s">
        <v>790</v>
      </c>
      <c r="E144" s="213" t="s">
        <v>5</v>
      </c>
      <c r="F144" s="248" t="s">
        <v>411</v>
      </c>
      <c r="G144" s="37"/>
      <c r="H144" s="272">
        <f>_xlfn.IFNA(VLOOKUP(A144,ISB!$A$4:$BY$454,67,FALSE),0)</f>
        <v>1480434.161259745</v>
      </c>
      <c r="I144" s="272">
        <f>_xlfn.IFNA(VLOOKUP(A144,ISB!$A$4:$BY$454,72,FALSE),0)</f>
        <v>-6016.8</v>
      </c>
      <c r="J144" s="273">
        <f>-_xlfn.IFNA(VLOOKUP(A144,ISB!$A$4:$BY$454,76,FALSE),0)</f>
        <v>-3842.4767999999999</v>
      </c>
      <c r="K144" s="273">
        <f>_xlfn.IFNA(VLOOKUP(A144,ISB!$A$4:$BY$454,77,FALSE),0)</f>
        <v>1470574.8844597449</v>
      </c>
      <c r="L144" s="273">
        <f>_xlfn.IFNA(VLOOKUP(A144,'Post 16'!A:AC,13,FALSE),0)+(_xlfn.IFNA(VLOOKUP(A144,'Post 16'!A:AC,25,FALSE),0))</f>
        <v>0</v>
      </c>
      <c r="M144" s="273">
        <f>VLOOKUP(A144,HN!A:P,16,FALSE)</f>
        <v>0</v>
      </c>
      <c r="N144" s="273">
        <f>VLOOKUP(A144,HN!A:T,20,FALSE)</f>
        <v>0</v>
      </c>
      <c r="O144" s="273">
        <f>VLOOKUP(A144,EY!A:O,15,FALSE)</f>
        <v>88365</v>
      </c>
      <c r="P144" s="273">
        <f>-VLOOKUP(A144,Adjustments!A:M,11,FALSE)</f>
        <v>0</v>
      </c>
      <c r="Q144" s="273"/>
      <c r="R144" s="273"/>
      <c r="S144" s="273">
        <f t="shared" si="23"/>
        <v>1558939.8844597449</v>
      </c>
      <c r="T144" s="37"/>
      <c r="U144" s="37">
        <v>129558.18355346359</v>
      </c>
      <c r="V144" s="37">
        <v>129558.18355346359</v>
      </c>
      <c r="W144" s="37">
        <v>129558.18355346359</v>
      </c>
      <c r="X144" s="37">
        <v>130029.48</v>
      </c>
      <c r="Y144" s="37">
        <v>130029.48</v>
      </c>
      <c r="Z144" s="37">
        <f t="shared" si="24"/>
        <v>130029.48172491927</v>
      </c>
      <c r="AA144" s="37">
        <f t="shared" si="25"/>
        <v>130029.48</v>
      </c>
      <c r="AB144" s="37">
        <f t="shared" si="25"/>
        <v>130029.48</v>
      </c>
      <c r="AC144" s="37">
        <f t="shared" si="25"/>
        <v>130029.48</v>
      </c>
      <c r="AD144" s="37">
        <f t="shared" si="25"/>
        <v>130029.48</v>
      </c>
      <c r="AE144" s="37">
        <f t="shared" si="25"/>
        <v>130029.48</v>
      </c>
      <c r="AF144" s="37">
        <f t="shared" si="20"/>
        <v>130029.49207443488</v>
      </c>
      <c r="AG144" s="37">
        <f t="shared" si="21"/>
        <v>1558939.8844597449</v>
      </c>
      <c r="AH144" s="37" t="b">
        <f t="shared" si="22"/>
        <v>1</v>
      </c>
      <c r="AI144" s="37"/>
      <c r="AJ144" s="37"/>
      <c r="AK144" s="37"/>
      <c r="AL144" s="37"/>
      <c r="AM144" s="37"/>
      <c r="AN144" s="37"/>
      <c r="AO144" s="37"/>
      <c r="AP144" s="207"/>
      <c r="AR144" s="37"/>
      <c r="AS144" s="37"/>
      <c r="AT144" s="37"/>
      <c r="AU144" s="37"/>
      <c r="AV144" s="37"/>
      <c r="AW144" s="37"/>
      <c r="AX144" s="37"/>
      <c r="AY144" s="37"/>
      <c r="AZ144" s="37"/>
      <c r="BA144" s="64"/>
    </row>
    <row r="145" spans="1:53">
      <c r="A145" s="231">
        <v>3386</v>
      </c>
      <c r="B145" s="4">
        <v>103470</v>
      </c>
      <c r="C145" s="4" t="s">
        <v>792</v>
      </c>
      <c r="D145" s="4" t="s">
        <v>793</v>
      </c>
      <c r="E145" s="213" t="s">
        <v>5</v>
      </c>
      <c r="F145" s="248" t="s">
        <v>411</v>
      </c>
      <c r="G145" s="37"/>
      <c r="H145" s="272">
        <f>_xlfn.IFNA(VLOOKUP(A145,ISB!$A$4:$BY$454,67,FALSE),0)</f>
        <v>1299291.4333104801</v>
      </c>
      <c r="I145" s="272">
        <f>_xlfn.IFNA(VLOOKUP(A145,ISB!$A$4:$BY$454,72,FALSE),0)</f>
        <v>-5415.12</v>
      </c>
      <c r="J145" s="273">
        <f>-_xlfn.IFNA(VLOOKUP(A145,ISB!$A$4:$BY$454,76,FALSE),0)</f>
        <v>-5511.9625999999998</v>
      </c>
      <c r="K145" s="273">
        <f>_xlfn.IFNA(VLOOKUP(A145,ISB!$A$4:$BY$454,77,FALSE),0)</f>
        <v>1288364.35071048</v>
      </c>
      <c r="L145" s="273">
        <f>_xlfn.IFNA(VLOOKUP(A145,'Post 16'!A:AC,13,FALSE),0)+(_xlfn.IFNA(VLOOKUP(A145,'Post 16'!A:AC,25,FALSE),0))</f>
        <v>0</v>
      </c>
      <c r="M145" s="273">
        <f>VLOOKUP(A145,HN!A:P,16,FALSE)</f>
        <v>0</v>
      </c>
      <c r="N145" s="273">
        <f>VLOOKUP(A145,HN!A:T,20,FALSE)</f>
        <v>0</v>
      </c>
      <c r="O145" s="273">
        <f>VLOOKUP(A145,EY!A:O,15,FALSE)</f>
        <v>109467.4</v>
      </c>
      <c r="P145" s="273">
        <f>-VLOOKUP(A145,Adjustments!A:M,11,FALSE)</f>
        <v>-5139.75</v>
      </c>
      <c r="Q145" s="273"/>
      <c r="R145" s="273"/>
      <c r="S145" s="273">
        <f t="shared" si="23"/>
        <v>1392692.0007104799</v>
      </c>
      <c r="T145" s="37"/>
      <c r="U145" s="37">
        <v>114131.1345830162</v>
      </c>
      <c r="V145" s="37">
        <v>114131.1345830162</v>
      </c>
      <c r="W145" s="37">
        <v>114131.1345830162</v>
      </c>
      <c r="X145" s="37">
        <v>116699.84</v>
      </c>
      <c r="Y145" s="37">
        <v>116699.84</v>
      </c>
      <c r="Z145" s="37">
        <f t="shared" si="24"/>
        <v>116699.84462017892</v>
      </c>
      <c r="AA145" s="37">
        <f t="shared" si="25"/>
        <v>116699.85</v>
      </c>
      <c r="AB145" s="37">
        <f t="shared" si="25"/>
        <v>116699.85</v>
      </c>
      <c r="AC145" s="37">
        <f t="shared" si="25"/>
        <v>116699.85</v>
      </c>
      <c r="AD145" s="37">
        <f t="shared" si="25"/>
        <v>116699.85</v>
      </c>
      <c r="AE145" s="37">
        <f t="shared" si="25"/>
        <v>116699.85</v>
      </c>
      <c r="AF145" s="37">
        <f t="shared" si="20"/>
        <v>116699.82234125235</v>
      </c>
      <c r="AG145" s="37">
        <f t="shared" si="21"/>
        <v>1392692.0007104799</v>
      </c>
      <c r="AH145" s="37" t="b">
        <f t="shared" si="22"/>
        <v>1</v>
      </c>
      <c r="AI145" s="37"/>
      <c r="AJ145" s="37"/>
      <c r="AK145" s="37"/>
      <c r="AL145" s="37"/>
      <c r="AM145" s="37"/>
      <c r="AN145" s="37"/>
      <c r="AO145" s="37"/>
      <c r="AP145" s="207"/>
      <c r="AR145" s="37"/>
      <c r="AS145" s="37"/>
      <c r="AT145" s="37"/>
      <c r="AU145" s="37"/>
      <c r="AV145" s="37"/>
      <c r="AW145" s="37"/>
      <c r="AX145" s="37"/>
      <c r="AY145" s="37"/>
      <c r="AZ145" s="37"/>
      <c r="BA145" s="64"/>
    </row>
    <row r="146" spans="1:53">
      <c r="A146" s="231">
        <v>3342</v>
      </c>
      <c r="B146" s="4">
        <v>103437</v>
      </c>
      <c r="C146" s="4" t="s">
        <v>795</v>
      </c>
      <c r="D146" s="4" t="s">
        <v>796</v>
      </c>
      <c r="E146" s="213" t="s">
        <v>5</v>
      </c>
      <c r="F146" s="248" t="s">
        <v>411</v>
      </c>
      <c r="G146" s="37"/>
      <c r="H146" s="272">
        <f>_xlfn.IFNA(VLOOKUP(A146,ISB!$A$4:$BY$454,67,FALSE),0)</f>
        <v>2225465.6984010939</v>
      </c>
      <c r="I146" s="272">
        <f>_xlfn.IFNA(VLOOKUP(A146,ISB!$A$4:$BY$454,72,FALSE),0)</f>
        <v>-9551.67</v>
      </c>
      <c r="J146" s="273">
        <f>-_xlfn.IFNA(VLOOKUP(A146,ISB!$A$4:$BY$454,76,FALSE),0)</f>
        <v>-7949.9520000000002</v>
      </c>
      <c r="K146" s="273">
        <f>_xlfn.IFNA(VLOOKUP(A146,ISB!$A$4:$BY$454,77,FALSE),0)</f>
        <v>2207964.076401094</v>
      </c>
      <c r="L146" s="273">
        <f>_xlfn.IFNA(VLOOKUP(A146,'Post 16'!A:AC,13,FALSE),0)+(_xlfn.IFNA(VLOOKUP(A146,'Post 16'!A:AC,25,FALSE),0))</f>
        <v>0</v>
      </c>
      <c r="M146" s="273">
        <f>VLOOKUP(A146,HN!A:P,16,FALSE)</f>
        <v>0</v>
      </c>
      <c r="N146" s="273">
        <f>VLOOKUP(A146,HN!A:T,20,FALSE)</f>
        <v>0</v>
      </c>
      <c r="O146" s="273">
        <f>VLOOKUP(A146,EY!A:O,15,FALSE)</f>
        <v>0</v>
      </c>
      <c r="P146" s="273">
        <f>-VLOOKUP(A146,Adjustments!A:M,11,FALSE)</f>
        <v>0</v>
      </c>
      <c r="Q146" s="273"/>
      <c r="R146" s="273"/>
      <c r="S146" s="273">
        <f t="shared" si="23"/>
        <v>2207964.076401094</v>
      </c>
      <c r="T146" s="37"/>
      <c r="U146" s="37">
        <v>183997.00636675782</v>
      </c>
      <c r="V146" s="37">
        <v>183997.00636675782</v>
      </c>
      <c r="W146" s="37">
        <v>183997.00636675782</v>
      </c>
      <c r="X146" s="37">
        <v>183997.01</v>
      </c>
      <c r="Y146" s="37">
        <v>183997.01</v>
      </c>
      <c r="Z146" s="37">
        <f t="shared" si="24"/>
        <v>183997.00591260256</v>
      </c>
      <c r="AA146" s="37">
        <f t="shared" si="25"/>
        <v>183997.01</v>
      </c>
      <c r="AB146" s="37">
        <f t="shared" si="25"/>
        <v>183997.01</v>
      </c>
      <c r="AC146" s="37">
        <f t="shared" si="25"/>
        <v>183997.01</v>
      </c>
      <c r="AD146" s="37">
        <f t="shared" si="25"/>
        <v>183997.01</v>
      </c>
      <c r="AE146" s="37">
        <f t="shared" si="25"/>
        <v>183997.01</v>
      </c>
      <c r="AF146" s="37">
        <f t="shared" si="20"/>
        <v>183996.98138821777</v>
      </c>
      <c r="AG146" s="37">
        <f t="shared" si="21"/>
        <v>2207964.076401094</v>
      </c>
      <c r="AH146" s="37" t="b">
        <f t="shared" si="22"/>
        <v>1</v>
      </c>
      <c r="AI146" s="37"/>
      <c r="AJ146" s="37"/>
      <c r="AK146" s="37"/>
      <c r="AL146" s="37"/>
      <c r="AM146" s="37"/>
      <c r="AN146" s="37"/>
      <c r="AO146" s="37"/>
      <c r="AP146" s="207"/>
      <c r="AR146" s="37"/>
      <c r="AS146" s="37"/>
      <c r="AT146" s="37"/>
      <c r="AU146" s="37"/>
      <c r="AV146" s="37"/>
      <c r="AW146" s="37"/>
      <c r="AX146" s="37"/>
      <c r="AY146" s="37"/>
      <c r="AZ146" s="37"/>
      <c r="BA146" s="64"/>
    </row>
    <row r="147" spans="1:53">
      <c r="A147" s="231">
        <v>3010</v>
      </c>
      <c r="B147" s="4">
        <v>103401</v>
      </c>
      <c r="C147" s="4" t="s">
        <v>798</v>
      </c>
      <c r="D147" s="4" t="s">
        <v>799</v>
      </c>
      <c r="E147" s="213" t="s">
        <v>5</v>
      </c>
      <c r="F147" s="248" t="s">
        <v>411</v>
      </c>
      <c r="G147" s="37"/>
      <c r="H147" s="272">
        <f>_xlfn.IFNA(VLOOKUP(A147,ISB!$A$4:$BY$454,67,FALSE),0)</f>
        <v>2412712.3313547759</v>
      </c>
      <c r="I147" s="272">
        <f>_xlfn.IFNA(VLOOKUP(A147,ISB!$A$4:$BY$454,72,FALSE),0)</f>
        <v>-10504.33</v>
      </c>
      <c r="J147" s="273">
        <f>-_xlfn.IFNA(VLOOKUP(A147,ISB!$A$4:$BY$454,76,FALSE),0)</f>
        <v>-15367.064399999999</v>
      </c>
      <c r="K147" s="273">
        <f>_xlfn.IFNA(VLOOKUP(A147,ISB!$A$4:$BY$454,77,FALSE),0)</f>
        <v>2386840.9369547758</v>
      </c>
      <c r="L147" s="273">
        <f>_xlfn.IFNA(VLOOKUP(A147,'Post 16'!A:AC,13,FALSE),0)+(_xlfn.IFNA(VLOOKUP(A147,'Post 16'!A:AC,25,FALSE),0))</f>
        <v>0</v>
      </c>
      <c r="M147" s="273">
        <f>VLOOKUP(A147,HN!A:P,16,FALSE)</f>
        <v>0</v>
      </c>
      <c r="N147" s="273">
        <f>VLOOKUP(A147,HN!A:T,20,FALSE)</f>
        <v>0</v>
      </c>
      <c r="O147" s="273">
        <f>VLOOKUP(A147,EY!A:O,15,FALSE)</f>
        <v>0</v>
      </c>
      <c r="P147" s="273">
        <f>-VLOOKUP(A147,Adjustments!A:M,11,FALSE)</f>
        <v>-9471</v>
      </c>
      <c r="Q147" s="273"/>
      <c r="R147" s="273"/>
      <c r="S147" s="273">
        <f t="shared" si="23"/>
        <v>2377369.9369547758</v>
      </c>
      <c r="T147" s="37"/>
      <c r="U147" s="37">
        <v>198114.16141289799</v>
      </c>
      <c r="V147" s="37">
        <v>198114.16141289799</v>
      </c>
      <c r="W147" s="37">
        <v>198114.16141289799</v>
      </c>
      <c r="X147" s="37">
        <v>198114.16</v>
      </c>
      <c r="Y147" s="37">
        <v>198114.16</v>
      </c>
      <c r="Z147" s="37">
        <f t="shared" si="24"/>
        <v>198114.16158951021</v>
      </c>
      <c r="AA147" s="37">
        <f t="shared" si="25"/>
        <v>198114.16</v>
      </c>
      <c r="AB147" s="37">
        <f t="shared" si="25"/>
        <v>198114.16</v>
      </c>
      <c r="AC147" s="37">
        <f t="shared" si="25"/>
        <v>198114.16</v>
      </c>
      <c r="AD147" s="37">
        <f t="shared" si="25"/>
        <v>198114.16</v>
      </c>
      <c r="AE147" s="37">
        <f t="shared" si="25"/>
        <v>198114.16</v>
      </c>
      <c r="AF147" s="37">
        <f t="shared" si="20"/>
        <v>198114.17112657195</v>
      </c>
      <c r="AG147" s="37">
        <f t="shared" si="21"/>
        <v>2377369.9369547758</v>
      </c>
      <c r="AH147" s="37" t="b">
        <f t="shared" si="22"/>
        <v>1</v>
      </c>
      <c r="AI147" s="37"/>
      <c r="AJ147" s="37"/>
      <c r="AK147" s="37"/>
      <c r="AL147" s="37"/>
      <c r="AM147" s="37"/>
      <c r="AN147" s="37"/>
      <c r="AO147" s="37"/>
      <c r="AP147" s="207"/>
      <c r="AR147" s="37"/>
      <c r="AS147" s="37"/>
      <c r="AT147" s="37"/>
      <c r="AU147" s="37"/>
      <c r="AV147" s="37"/>
      <c r="AW147" s="37"/>
      <c r="AX147" s="37"/>
      <c r="AY147" s="37"/>
      <c r="AZ147" s="37"/>
      <c r="BA147" s="64"/>
    </row>
    <row r="148" spans="1:53">
      <c r="A148" s="231">
        <v>4625</v>
      </c>
      <c r="B148" s="4">
        <v>103534</v>
      </c>
      <c r="C148" s="4" t="s">
        <v>801</v>
      </c>
      <c r="D148" s="4" t="s">
        <v>802</v>
      </c>
      <c r="E148" s="213" t="s">
        <v>6</v>
      </c>
      <c r="F148" s="248" t="s">
        <v>411</v>
      </c>
      <c r="G148" s="37"/>
      <c r="H148" s="272">
        <f>_xlfn.IFNA(VLOOKUP(A148,ISB!$A$4:$BY$454,67,FALSE),0)</f>
        <v>4947544.0854248982</v>
      </c>
      <c r="I148" s="272">
        <f>_xlfn.IFNA(VLOOKUP(A148,ISB!$A$4:$BY$454,72,FALSE),0)</f>
        <v>-12519.45</v>
      </c>
      <c r="J148" s="273">
        <f>-_xlfn.IFNA(VLOOKUP(A148,ISB!$A$4:$BY$454,76,FALSE),0)</f>
        <v>-13885.9141</v>
      </c>
      <c r="K148" s="273">
        <f>_xlfn.IFNA(VLOOKUP(A148,ISB!$A$4:$BY$454,77,FALSE),0)</f>
        <v>4921138.7213248983</v>
      </c>
      <c r="L148" s="273">
        <f>_xlfn.IFNA(VLOOKUP(A148,'Post 16'!A:AC,13,FALSE),0)+(_xlfn.IFNA(VLOOKUP(A148,'Post 16'!A:AC,25,FALSE),0))</f>
        <v>0</v>
      </c>
      <c r="M148" s="273">
        <f>VLOOKUP(A148,HN!A:P,16,FALSE)</f>
        <v>0</v>
      </c>
      <c r="N148" s="273">
        <f>VLOOKUP(A148,HN!A:T,20,FALSE)</f>
        <v>0</v>
      </c>
      <c r="O148" s="273">
        <f>VLOOKUP(A148,EY!A:O,15,FALSE)</f>
        <v>0</v>
      </c>
      <c r="P148" s="273">
        <f>-VLOOKUP(A148,Adjustments!A:M,11,FALSE)</f>
        <v>0</v>
      </c>
      <c r="Q148" s="273"/>
      <c r="R148" s="273"/>
      <c r="S148" s="273">
        <f t="shared" si="23"/>
        <v>4921138.7213248983</v>
      </c>
      <c r="T148" s="37"/>
      <c r="U148" s="37">
        <v>410094.89344374154</v>
      </c>
      <c r="V148" s="37">
        <v>410094.89344374154</v>
      </c>
      <c r="W148" s="37">
        <v>410094.89344374154</v>
      </c>
      <c r="X148" s="37">
        <v>410094.89</v>
      </c>
      <c r="Y148" s="37">
        <v>410094.89</v>
      </c>
      <c r="Z148" s="37">
        <f t="shared" si="24"/>
        <v>410094.8938742092</v>
      </c>
      <c r="AA148" s="37">
        <f t="shared" si="25"/>
        <v>410094.89</v>
      </c>
      <c r="AB148" s="37">
        <f t="shared" si="25"/>
        <v>410094.89</v>
      </c>
      <c r="AC148" s="37">
        <f t="shared" si="25"/>
        <v>410094.89</v>
      </c>
      <c r="AD148" s="37">
        <f t="shared" si="25"/>
        <v>410094.89</v>
      </c>
      <c r="AE148" s="37">
        <f t="shared" si="25"/>
        <v>410094.89</v>
      </c>
      <c r="AF148" s="37">
        <f t="shared" si="20"/>
        <v>410094.91711946391</v>
      </c>
      <c r="AG148" s="37">
        <f t="shared" si="21"/>
        <v>4921138.7213248983</v>
      </c>
      <c r="AH148" s="37" t="b">
        <f t="shared" si="22"/>
        <v>1</v>
      </c>
      <c r="AI148" s="37"/>
      <c r="AJ148" s="37"/>
      <c r="AK148" s="37"/>
      <c r="AL148" s="37"/>
      <c r="AM148" s="37"/>
      <c r="AN148" s="37"/>
      <c r="AO148" s="37"/>
      <c r="AP148" s="207"/>
      <c r="AR148" s="37"/>
      <c r="AS148" s="37"/>
      <c r="AT148" s="37"/>
      <c r="AU148" s="37"/>
      <c r="AV148" s="37"/>
      <c r="AW148" s="37"/>
      <c r="AX148" s="37"/>
      <c r="AY148" s="37"/>
      <c r="AZ148" s="37"/>
      <c r="BA148" s="64"/>
    </row>
    <row r="149" spans="1:53">
      <c r="A149" s="231">
        <v>3307</v>
      </c>
      <c r="B149" s="4">
        <v>103416</v>
      </c>
      <c r="C149" s="4" t="s">
        <v>804</v>
      </c>
      <c r="D149" s="4" t="s">
        <v>805</v>
      </c>
      <c r="E149" s="213" t="s">
        <v>5</v>
      </c>
      <c r="F149" s="248" t="s">
        <v>411</v>
      </c>
      <c r="G149" s="37"/>
      <c r="H149" s="272">
        <f>_xlfn.IFNA(VLOOKUP(A149,ISB!$A$4:$BY$454,67,FALSE),0)</f>
        <v>1736322.370477906</v>
      </c>
      <c r="I149" s="272">
        <f>_xlfn.IFNA(VLOOKUP(A149,ISB!$A$4:$BY$454,72,FALSE),0)</f>
        <v>-9050.27</v>
      </c>
      <c r="J149" s="273">
        <f>-_xlfn.IFNA(VLOOKUP(A149,ISB!$A$4:$BY$454,76,FALSE),0)</f>
        <v>-4398.9754999999996</v>
      </c>
      <c r="K149" s="273">
        <f>_xlfn.IFNA(VLOOKUP(A149,ISB!$A$4:$BY$454,77,FALSE),0)</f>
        <v>1722873.124977906</v>
      </c>
      <c r="L149" s="273">
        <f>_xlfn.IFNA(VLOOKUP(A149,'Post 16'!A:AC,13,FALSE),0)+(_xlfn.IFNA(VLOOKUP(A149,'Post 16'!A:AC,25,FALSE),0))</f>
        <v>0</v>
      </c>
      <c r="M149" s="273">
        <f>VLOOKUP(A149,HN!A:P,16,FALSE)</f>
        <v>0</v>
      </c>
      <c r="N149" s="273">
        <f>VLOOKUP(A149,HN!A:T,20,FALSE)</f>
        <v>0</v>
      </c>
      <c r="O149" s="273">
        <f>VLOOKUP(A149,EY!A:O,15,FALSE)</f>
        <v>0</v>
      </c>
      <c r="P149" s="273">
        <f>-VLOOKUP(A149,Adjustments!A:M,11,FALSE)</f>
        <v>-9471</v>
      </c>
      <c r="Q149" s="273"/>
      <c r="R149" s="273"/>
      <c r="S149" s="273">
        <f t="shared" si="23"/>
        <v>1713402.124977906</v>
      </c>
      <c r="T149" s="37"/>
      <c r="U149" s="37">
        <v>142783.51041482549</v>
      </c>
      <c r="V149" s="37">
        <v>142783.51041482549</v>
      </c>
      <c r="W149" s="37">
        <v>142783.51041482549</v>
      </c>
      <c r="X149" s="37">
        <v>142783.51</v>
      </c>
      <c r="Y149" s="37">
        <v>142783.51</v>
      </c>
      <c r="Z149" s="37">
        <f t="shared" si="24"/>
        <v>142783.51046667871</v>
      </c>
      <c r="AA149" s="37">
        <f t="shared" si="25"/>
        <v>142783.51</v>
      </c>
      <c r="AB149" s="37">
        <f t="shared" si="25"/>
        <v>142783.51</v>
      </c>
      <c r="AC149" s="37">
        <f t="shared" si="25"/>
        <v>142783.51</v>
      </c>
      <c r="AD149" s="37">
        <f t="shared" si="25"/>
        <v>142783.51</v>
      </c>
      <c r="AE149" s="37">
        <f t="shared" si="25"/>
        <v>142783.51</v>
      </c>
      <c r="AF149" s="37">
        <f t="shared" si="20"/>
        <v>142783.51326675084</v>
      </c>
      <c r="AG149" s="37">
        <f t="shared" si="21"/>
        <v>1713402.124977906</v>
      </c>
      <c r="AH149" s="37" t="b">
        <f t="shared" si="22"/>
        <v>1</v>
      </c>
      <c r="AI149" s="37"/>
      <c r="AJ149" s="37"/>
      <c r="AK149" s="37"/>
      <c r="AL149" s="37"/>
      <c r="AM149" s="37"/>
      <c r="AN149" s="37"/>
      <c r="AO149" s="37"/>
      <c r="AP149" s="207"/>
      <c r="AR149" s="37"/>
      <c r="AS149" s="37"/>
      <c r="AT149" s="37"/>
      <c r="AU149" s="37"/>
      <c r="AV149" s="37"/>
      <c r="AW149" s="37"/>
      <c r="AX149" s="37"/>
      <c r="AY149" s="37"/>
      <c r="AZ149" s="37"/>
      <c r="BA149" s="64"/>
    </row>
    <row r="150" spans="1:53">
      <c r="A150" s="231">
        <v>3382</v>
      </c>
      <c r="B150" s="4">
        <v>103467</v>
      </c>
      <c r="C150" s="4" t="s">
        <v>807</v>
      </c>
      <c r="D150" s="4" t="s">
        <v>808</v>
      </c>
      <c r="E150" s="213" t="s">
        <v>5</v>
      </c>
      <c r="F150" s="248" t="s">
        <v>411</v>
      </c>
      <c r="G150" s="37"/>
      <c r="H150" s="272">
        <f>_xlfn.IFNA(VLOOKUP(A150,ISB!$A$4:$BY$454,67,FALSE),0)</f>
        <v>1111762.9100160913</v>
      </c>
      <c r="I150" s="272">
        <f>_xlfn.IFNA(VLOOKUP(A150,ISB!$A$4:$BY$454,72,FALSE),0)</f>
        <v>-5064.1400000000003</v>
      </c>
      <c r="J150" s="273">
        <f>-_xlfn.IFNA(VLOOKUP(A150,ISB!$A$4:$BY$454,76,FALSE),0)</f>
        <v>-4557.9766</v>
      </c>
      <c r="K150" s="273">
        <f>_xlfn.IFNA(VLOOKUP(A150,ISB!$A$4:$BY$454,77,FALSE),0)</f>
        <v>1102140.7934160915</v>
      </c>
      <c r="L150" s="273">
        <f>_xlfn.IFNA(VLOOKUP(A150,'Post 16'!A:AC,13,FALSE),0)+(_xlfn.IFNA(VLOOKUP(A150,'Post 16'!A:AC,25,FALSE),0))</f>
        <v>0</v>
      </c>
      <c r="M150" s="273">
        <f>VLOOKUP(A150,HN!A:P,16,FALSE)</f>
        <v>0</v>
      </c>
      <c r="N150" s="273">
        <f>VLOOKUP(A150,HN!A:T,20,FALSE)</f>
        <v>0</v>
      </c>
      <c r="O150" s="273">
        <f>VLOOKUP(A150,EY!A:O,15,FALSE)</f>
        <v>0</v>
      </c>
      <c r="P150" s="273">
        <f>-VLOOKUP(A150,Adjustments!A:M,11,FALSE)</f>
        <v>0</v>
      </c>
      <c r="Q150" s="273"/>
      <c r="R150" s="273"/>
      <c r="S150" s="273">
        <f t="shared" si="23"/>
        <v>1102140.7934160915</v>
      </c>
      <c r="T150" s="37"/>
      <c r="U150" s="37">
        <v>91845.066118007628</v>
      </c>
      <c r="V150" s="37">
        <v>91845.066118007628</v>
      </c>
      <c r="W150" s="37">
        <v>91845.066118007628</v>
      </c>
      <c r="X150" s="37">
        <v>91845.07</v>
      </c>
      <c r="Y150" s="37">
        <v>91845.07</v>
      </c>
      <c r="Z150" s="37">
        <f t="shared" si="24"/>
        <v>91845.065632758575</v>
      </c>
      <c r="AA150" s="37">
        <f t="shared" si="25"/>
        <v>91845.07</v>
      </c>
      <c r="AB150" s="37">
        <f t="shared" si="25"/>
        <v>91845.07</v>
      </c>
      <c r="AC150" s="37">
        <f t="shared" si="25"/>
        <v>91845.07</v>
      </c>
      <c r="AD150" s="37">
        <f t="shared" si="25"/>
        <v>91845.07</v>
      </c>
      <c r="AE150" s="37">
        <f t="shared" si="25"/>
        <v>91845.07</v>
      </c>
      <c r="AF150" s="37">
        <f t="shared" si="20"/>
        <v>91845.039429309778</v>
      </c>
      <c r="AG150" s="37">
        <f t="shared" si="21"/>
        <v>1102140.7934160915</v>
      </c>
      <c r="AH150" s="37" t="b">
        <f t="shared" si="22"/>
        <v>1</v>
      </c>
      <c r="AI150" s="37"/>
      <c r="AJ150" s="37"/>
      <c r="AK150" s="37"/>
      <c r="AL150" s="37"/>
      <c r="AM150" s="37"/>
      <c r="AN150" s="37"/>
      <c r="AO150" s="37"/>
      <c r="AP150" s="207"/>
      <c r="AR150" s="37"/>
      <c r="AS150" s="37"/>
      <c r="AT150" s="37"/>
      <c r="AU150" s="37"/>
      <c r="AV150" s="37"/>
      <c r="AW150" s="37"/>
      <c r="AX150" s="37"/>
      <c r="AY150" s="37"/>
      <c r="AZ150" s="37"/>
      <c r="BA150" s="64"/>
    </row>
    <row r="151" spans="1:53">
      <c r="A151" s="231">
        <v>3025</v>
      </c>
      <c r="B151" s="4">
        <v>103410</v>
      </c>
      <c r="C151" s="4" t="s">
        <v>810</v>
      </c>
      <c r="D151" s="4" t="s">
        <v>157</v>
      </c>
      <c r="E151" s="213" t="s">
        <v>5</v>
      </c>
      <c r="F151" s="248" t="s">
        <v>411</v>
      </c>
      <c r="G151" s="37"/>
      <c r="H151" s="272">
        <f>_xlfn.IFNA(VLOOKUP(A151,ISB!$A$4:$BY$454,67,FALSE),0)</f>
        <v>2035488.8096839758</v>
      </c>
      <c r="I151" s="272">
        <f>_xlfn.IFNA(VLOOKUP(A151,ISB!$A$4:$BY$454,72,FALSE),0)</f>
        <v>-10103.210000000001</v>
      </c>
      <c r="J151" s="273">
        <f>-_xlfn.IFNA(VLOOKUP(A151,ISB!$A$4:$BY$454,76,FALSE),0)</f>
        <v>-5126.1246000000001</v>
      </c>
      <c r="K151" s="273">
        <f>_xlfn.IFNA(VLOOKUP(A151,ISB!$A$4:$BY$454,77,FALSE),0)</f>
        <v>2020259.4750839758</v>
      </c>
      <c r="L151" s="273">
        <f>_xlfn.IFNA(VLOOKUP(A151,'Post 16'!A:AC,13,FALSE),0)+(_xlfn.IFNA(VLOOKUP(A151,'Post 16'!A:AC,25,FALSE),0))</f>
        <v>0</v>
      </c>
      <c r="M151" s="273">
        <f>VLOOKUP(A151,HN!A:P,16,FALSE)</f>
        <v>0</v>
      </c>
      <c r="N151" s="273">
        <f>VLOOKUP(A151,HN!A:T,20,FALSE)</f>
        <v>0</v>
      </c>
      <c r="O151" s="273">
        <f>VLOOKUP(A151,EY!A:O,15,FALSE)</f>
        <v>0</v>
      </c>
      <c r="P151" s="273">
        <f>-VLOOKUP(A151,Adjustments!A:M,11,FALSE)</f>
        <v>-9471</v>
      </c>
      <c r="Q151" s="273"/>
      <c r="R151" s="273"/>
      <c r="S151" s="273">
        <f t="shared" si="23"/>
        <v>2010788.4750839758</v>
      </c>
      <c r="T151" s="37"/>
      <c r="U151" s="37">
        <v>167565.70625699798</v>
      </c>
      <c r="V151" s="37">
        <v>167565.70625699798</v>
      </c>
      <c r="W151" s="37">
        <v>167565.70625699798</v>
      </c>
      <c r="X151" s="37">
        <v>167565.71</v>
      </c>
      <c r="Y151" s="37">
        <v>167565.71</v>
      </c>
      <c r="Z151" s="37">
        <f t="shared" si="24"/>
        <v>167565.70578912273</v>
      </c>
      <c r="AA151" s="37">
        <f t="shared" si="25"/>
        <v>167565.71</v>
      </c>
      <c r="AB151" s="37">
        <f t="shared" si="25"/>
        <v>167565.71</v>
      </c>
      <c r="AC151" s="37">
        <f t="shared" si="25"/>
        <v>167565.71</v>
      </c>
      <c r="AD151" s="37">
        <f t="shared" si="25"/>
        <v>167565.71</v>
      </c>
      <c r="AE151" s="37">
        <f t="shared" si="25"/>
        <v>167565.71</v>
      </c>
      <c r="AF151" s="37">
        <f t="shared" si="20"/>
        <v>167565.68052385934</v>
      </c>
      <c r="AG151" s="37">
        <f t="shared" si="21"/>
        <v>2010788.4750839758</v>
      </c>
      <c r="AH151" s="37" t="b">
        <f t="shared" si="22"/>
        <v>1</v>
      </c>
      <c r="AI151" s="37"/>
      <c r="AJ151" s="37"/>
      <c r="AK151" s="37"/>
      <c r="AL151" s="37"/>
      <c r="AM151" s="37"/>
      <c r="AN151" s="37"/>
      <c r="AO151" s="37"/>
      <c r="AP151" s="207"/>
      <c r="AR151" s="37"/>
      <c r="AS151" s="37"/>
      <c r="AT151" s="37"/>
      <c r="AU151" s="37"/>
      <c r="AV151" s="37"/>
      <c r="AW151" s="37"/>
      <c r="AX151" s="37"/>
      <c r="AY151" s="37"/>
      <c r="AZ151" s="37"/>
      <c r="BA151" s="64"/>
    </row>
    <row r="152" spans="1:53">
      <c r="A152" s="231">
        <v>3346</v>
      </c>
      <c r="B152" s="4">
        <v>103439</v>
      </c>
      <c r="C152" s="4" t="s">
        <v>812</v>
      </c>
      <c r="D152" s="4" t="s">
        <v>813</v>
      </c>
      <c r="E152" s="213" t="s">
        <v>5</v>
      </c>
      <c r="F152" s="248" t="s">
        <v>411</v>
      </c>
      <c r="G152" s="37"/>
      <c r="H152" s="272">
        <f>_xlfn.IFNA(VLOOKUP(A152,ISB!$A$4:$BY$454,67,FALSE),0)</f>
        <v>2195820.4750832999</v>
      </c>
      <c r="I152" s="272">
        <f>_xlfn.IFNA(VLOOKUP(A152,ISB!$A$4:$BY$454,72,FALSE),0)</f>
        <v>-9125.48</v>
      </c>
      <c r="J152" s="273">
        <f>-_xlfn.IFNA(VLOOKUP(A152,ISB!$A$4:$BY$454,76,FALSE),0)</f>
        <v>-7128.4549000000006</v>
      </c>
      <c r="K152" s="273">
        <f>_xlfn.IFNA(VLOOKUP(A152,ISB!$A$4:$BY$454,77,FALSE),0)</f>
        <v>2179566.5401833002</v>
      </c>
      <c r="L152" s="273">
        <f>_xlfn.IFNA(VLOOKUP(A152,'Post 16'!A:AC,13,FALSE),0)+(_xlfn.IFNA(VLOOKUP(A152,'Post 16'!A:AC,25,FALSE),0))</f>
        <v>0</v>
      </c>
      <c r="M152" s="273">
        <f>VLOOKUP(A152,HN!A:P,16,FALSE)</f>
        <v>0</v>
      </c>
      <c r="N152" s="273">
        <f>VLOOKUP(A152,HN!A:T,20,FALSE)</f>
        <v>0</v>
      </c>
      <c r="O152" s="273">
        <f>VLOOKUP(A152,EY!A:O,15,FALSE)</f>
        <v>0</v>
      </c>
      <c r="P152" s="273">
        <f>-VLOOKUP(A152,Adjustments!A:M,11,FALSE)</f>
        <v>-9471</v>
      </c>
      <c r="Q152" s="273"/>
      <c r="R152" s="273"/>
      <c r="S152" s="273">
        <f t="shared" si="23"/>
        <v>2170095.5401833002</v>
      </c>
      <c r="T152" s="37"/>
      <c r="U152" s="37">
        <v>180841.29501527501</v>
      </c>
      <c r="V152" s="37">
        <v>180841.29501527501</v>
      </c>
      <c r="W152" s="37">
        <v>180841.29501527501</v>
      </c>
      <c r="X152" s="37">
        <v>180841.3</v>
      </c>
      <c r="Y152" s="37">
        <v>180841.29</v>
      </c>
      <c r="Z152" s="37">
        <f t="shared" si="24"/>
        <v>180841.29439218438</v>
      </c>
      <c r="AA152" s="37">
        <f t="shared" si="25"/>
        <v>180841.3</v>
      </c>
      <c r="AB152" s="37">
        <f t="shared" si="25"/>
        <v>180841.3</v>
      </c>
      <c r="AC152" s="37">
        <f t="shared" si="25"/>
        <v>180841.3</v>
      </c>
      <c r="AD152" s="37">
        <f t="shared" si="25"/>
        <v>180841.3</v>
      </c>
      <c r="AE152" s="37">
        <f t="shared" si="25"/>
        <v>180841.3</v>
      </c>
      <c r="AF152" s="37">
        <f t="shared" si="20"/>
        <v>180841.27074529044</v>
      </c>
      <c r="AG152" s="37">
        <f t="shared" si="21"/>
        <v>2170095.5401833002</v>
      </c>
      <c r="AH152" s="37" t="b">
        <f t="shared" si="22"/>
        <v>1</v>
      </c>
      <c r="AI152" s="37"/>
      <c r="AJ152" s="37"/>
      <c r="AK152" s="37"/>
      <c r="AL152" s="37"/>
      <c r="AM152" s="37"/>
      <c r="AN152" s="37"/>
      <c r="AO152" s="37"/>
      <c r="AP152" s="207"/>
      <c r="AR152" s="37"/>
      <c r="AS152" s="37"/>
      <c r="AT152" s="37"/>
      <c r="AU152" s="37"/>
      <c r="AV152" s="37"/>
      <c r="AW152" s="37"/>
      <c r="AX152" s="37"/>
      <c r="AY152" s="37"/>
      <c r="AZ152" s="37"/>
      <c r="BA152" s="64"/>
    </row>
    <row r="153" spans="1:53">
      <c r="A153" s="231">
        <v>3365</v>
      </c>
      <c r="B153" s="4">
        <v>103456</v>
      </c>
      <c r="C153" s="4" t="s">
        <v>815</v>
      </c>
      <c r="D153" s="4" t="s">
        <v>816</v>
      </c>
      <c r="E153" s="213" t="s">
        <v>5</v>
      </c>
      <c r="F153" s="248" t="s">
        <v>411</v>
      </c>
      <c r="G153" s="37"/>
      <c r="H153" s="272">
        <f>_xlfn.IFNA(VLOOKUP(A153,ISB!$A$4:$BY$454,67,FALSE),0)</f>
        <v>1104762.1724946452</v>
      </c>
      <c r="I153" s="272">
        <f>_xlfn.IFNA(VLOOKUP(A153,ISB!$A$4:$BY$454,72,FALSE),0)</f>
        <v>-5239.63</v>
      </c>
      <c r="J153" s="273">
        <f>-_xlfn.IFNA(VLOOKUP(A153,ISB!$A$4:$BY$454,76,FALSE),0)</f>
        <v>-3736.4794999999999</v>
      </c>
      <c r="K153" s="273">
        <f>_xlfn.IFNA(VLOOKUP(A153,ISB!$A$4:$BY$454,77,FALSE),0)</f>
        <v>1095786.0629946454</v>
      </c>
      <c r="L153" s="273">
        <f>_xlfn.IFNA(VLOOKUP(A153,'Post 16'!A:AC,13,FALSE),0)+(_xlfn.IFNA(VLOOKUP(A153,'Post 16'!A:AC,25,FALSE),0))</f>
        <v>0</v>
      </c>
      <c r="M153" s="273">
        <f>VLOOKUP(A153,HN!A:P,16,FALSE)</f>
        <v>0</v>
      </c>
      <c r="N153" s="273">
        <f>VLOOKUP(A153,HN!A:T,20,FALSE)</f>
        <v>0</v>
      </c>
      <c r="O153" s="273">
        <f>VLOOKUP(A153,EY!A:O,15,FALSE)</f>
        <v>0</v>
      </c>
      <c r="P153" s="273">
        <f>-VLOOKUP(A153,Adjustments!A:M,11,FALSE)</f>
        <v>-5139.75</v>
      </c>
      <c r="Q153" s="273"/>
      <c r="R153" s="273"/>
      <c r="S153" s="273">
        <f t="shared" si="23"/>
        <v>1090646.3129946454</v>
      </c>
      <c r="T153" s="37"/>
      <c r="U153" s="37">
        <v>90887.192749553782</v>
      </c>
      <c r="V153" s="37">
        <v>90887.192749553782</v>
      </c>
      <c r="W153" s="37">
        <v>90887.192749553782</v>
      </c>
      <c r="X153" s="37">
        <v>90887.19</v>
      </c>
      <c r="Y153" s="37">
        <v>90887.19</v>
      </c>
      <c r="Z153" s="37">
        <f t="shared" si="24"/>
        <v>90887.193093248003</v>
      </c>
      <c r="AA153" s="37">
        <f t="shared" si="25"/>
        <v>90887.19</v>
      </c>
      <c r="AB153" s="37">
        <f t="shared" si="25"/>
        <v>90887.19</v>
      </c>
      <c r="AC153" s="37">
        <f t="shared" si="25"/>
        <v>90887.19</v>
      </c>
      <c r="AD153" s="37">
        <f t="shared" si="25"/>
        <v>90887.19</v>
      </c>
      <c r="AE153" s="37">
        <f t="shared" si="25"/>
        <v>90887.19</v>
      </c>
      <c r="AF153" s="37">
        <f t="shared" si="20"/>
        <v>90887.211652736412</v>
      </c>
      <c r="AG153" s="37">
        <f t="shared" si="21"/>
        <v>1090646.3129946454</v>
      </c>
      <c r="AH153" s="37" t="b">
        <f t="shared" si="22"/>
        <v>1</v>
      </c>
      <c r="AI153" s="37"/>
      <c r="AJ153" s="37"/>
      <c r="AK153" s="37"/>
      <c r="AL153" s="37"/>
      <c r="AM153" s="37"/>
      <c r="AN153" s="37"/>
      <c r="AO153" s="37"/>
      <c r="AP153" s="207"/>
      <c r="AR153" s="37"/>
      <c r="AS153" s="37"/>
      <c r="AT153" s="37"/>
      <c r="AU153" s="37"/>
      <c r="AV153" s="37"/>
      <c r="AW153" s="37"/>
      <c r="AX153" s="37"/>
      <c r="AY153" s="37"/>
      <c r="AZ153" s="37"/>
      <c r="BA153" s="64"/>
    </row>
    <row r="154" spans="1:53">
      <c r="A154" s="231">
        <v>1009</v>
      </c>
      <c r="B154" s="4">
        <v>103124</v>
      </c>
      <c r="C154" s="4" t="s">
        <v>818</v>
      </c>
      <c r="D154" s="4" t="s">
        <v>819</v>
      </c>
      <c r="E154" s="213" t="s">
        <v>180</v>
      </c>
      <c r="F154" s="248" t="s">
        <v>411</v>
      </c>
      <c r="G154" s="37"/>
      <c r="H154" s="272">
        <f>_xlfn.IFNA(VLOOKUP(A154,ISB!$A$4:$BY$454,67,FALSE),0)</f>
        <v>0</v>
      </c>
      <c r="I154" s="272">
        <f>_xlfn.IFNA(VLOOKUP(A154,ISB!$A$4:$BY$454,72,FALSE),0)</f>
        <v>0</v>
      </c>
      <c r="J154" s="273">
        <f>-_xlfn.IFNA(VLOOKUP(A154,ISB!$A$4:$BY$454,76,FALSE),0)</f>
        <v>0</v>
      </c>
      <c r="K154" s="273">
        <f>_xlfn.IFNA(VLOOKUP(A154,ISB!$A$4:$BY$454,77,FALSE),0)</f>
        <v>0</v>
      </c>
      <c r="L154" s="273">
        <f>_xlfn.IFNA(VLOOKUP(A154,'Post 16'!A:AC,13,FALSE),0)+(_xlfn.IFNA(VLOOKUP(A154,'Post 16'!A:AC,25,FALSE),0))</f>
        <v>0</v>
      </c>
      <c r="M154" s="273">
        <f>VLOOKUP(A154,HN!A:P,16,FALSE)</f>
        <v>0</v>
      </c>
      <c r="N154" s="273">
        <f>VLOOKUP(A154,HN!A:T,20,FALSE)</f>
        <v>0</v>
      </c>
      <c r="O154" s="273">
        <f>VLOOKUP(A154,EY!A:O,15,FALSE)</f>
        <v>726057.05666666664</v>
      </c>
      <c r="P154" s="273">
        <f>-VLOOKUP(A154,Adjustments!A:M,11,FALSE)</f>
        <v>-3291.75</v>
      </c>
      <c r="Q154" s="273"/>
      <c r="R154" s="273"/>
      <c r="S154" s="273">
        <f t="shared" si="23"/>
        <v>722765.30666666664</v>
      </c>
      <c r="T154" s="37"/>
      <c r="U154" s="37">
        <v>46436.359106123891</v>
      </c>
      <c r="V154" s="37">
        <v>46436.359106123891</v>
      </c>
      <c r="W154" s="37">
        <v>46436.359106123891</v>
      </c>
      <c r="X154" s="37">
        <v>64828.47</v>
      </c>
      <c r="Y154" s="37">
        <v>64828.47</v>
      </c>
      <c r="Z154" s="37">
        <f t="shared" si="24"/>
        <v>64828.469918536866</v>
      </c>
      <c r="AA154" s="37">
        <f t="shared" si="25"/>
        <v>64828.47</v>
      </c>
      <c r="AB154" s="37">
        <f t="shared" si="25"/>
        <v>64828.47</v>
      </c>
      <c r="AC154" s="37">
        <f t="shared" si="25"/>
        <v>64828.47</v>
      </c>
      <c r="AD154" s="37">
        <f t="shared" si="25"/>
        <v>64828.47</v>
      </c>
      <c r="AE154" s="37">
        <f t="shared" si="25"/>
        <v>64828.47</v>
      </c>
      <c r="AF154" s="37">
        <f t="shared" si="20"/>
        <v>64828.469429758261</v>
      </c>
      <c r="AG154" s="37">
        <f t="shared" si="21"/>
        <v>722765.30666666664</v>
      </c>
      <c r="AH154" s="37" t="b">
        <f t="shared" si="22"/>
        <v>1</v>
      </c>
      <c r="AI154" s="37"/>
      <c r="AJ154" s="37"/>
      <c r="AK154" s="37"/>
      <c r="AL154" s="37"/>
      <c r="AM154" s="37"/>
      <c r="AN154" s="37"/>
      <c r="AO154" s="37"/>
      <c r="AP154" s="207"/>
      <c r="AR154" s="37"/>
      <c r="AS154" s="37"/>
      <c r="AT154" s="37"/>
      <c r="AU154" s="37"/>
      <c r="AV154" s="37"/>
      <c r="AW154" s="37"/>
      <c r="AX154" s="37"/>
      <c r="AY154" s="37"/>
      <c r="AZ154" s="37"/>
      <c r="BA154" s="64"/>
    </row>
    <row r="155" spans="1:53">
      <c r="A155" s="231">
        <v>3310</v>
      </c>
      <c r="B155" s="4">
        <v>103417</v>
      </c>
      <c r="C155" s="4" t="s">
        <v>821</v>
      </c>
      <c r="D155" s="4" t="s">
        <v>822</v>
      </c>
      <c r="E155" s="213" t="s">
        <v>5</v>
      </c>
      <c r="F155" s="248" t="s">
        <v>411</v>
      </c>
      <c r="G155" s="37"/>
      <c r="H155" s="272">
        <f>_xlfn.IFNA(VLOOKUP(A155,ISB!$A$4:$BY$454,67,FALSE),0)</f>
        <v>1305965.5592969407</v>
      </c>
      <c r="I155" s="272">
        <f>_xlfn.IFNA(VLOOKUP(A155,ISB!$A$4:$BY$454,72,FALSE),0)</f>
        <v>-5239.63</v>
      </c>
      <c r="J155" s="273">
        <f>-_xlfn.IFNA(VLOOKUP(A155,ISB!$A$4:$BY$454,76,FALSE),0)</f>
        <v>-3974.9760000000001</v>
      </c>
      <c r="K155" s="273">
        <f>_xlfn.IFNA(VLOOKUP(A155,ISB!$A$4:$BY$454,77,FALSE),0)</f>
        <v>1296750.9532969408</v>
      </c>
      <c r="L155" s="273">
        <f>_xlfn.IFNA(VLOOKUP(A155,'Post 16'!A:AC,13,FALSE),0)+(_xlfn.IFNA(VLOOKUP(A155,'Post 16'!A:AC,25,FALSE),0))</f>
        <v>0</v>
      </c>
      <c r="M155" s="273">
        <f>VLOOKUP(A155,HN!A:P,16,FALSE)</f>
        <v>0</v>
      </c>
      <c r="N155" s="273">
        <f>VLOOKUP(A155,HN!A:T,20,FALSE)</f>
        <v>0</v>
      </c>
      <c r="O155" s="273">
        <f>VLOOKUP(A155,EY!A:O,15,FALSE)</f>
        <v>100294.6</v>
      </c>
      <c r="P155" s="273">
        <f>-VLOOKUP(A155,Adjustments!A:M,11,FALSE)</f>
        <v>-5350</v>
      </c>
      <c r="Q155" s="273"/>
      <c r="R155" s="273"/>
      <c r="S155" s="273">
        <f t="shared" si="23"/>
        <v>1391695.5532969409</v>
      </c>
      <c r="T155" s="37"/>
      <c r="U155" s="37">
        <v>115285.53663838143</v>
      </c>
      <c r="V155" s="37">
        <v>115285.53663838143</v>
      </c>
      <c r="W155" s="37">
        <v>115285.53663838143</v>
      </c>
      <c r="X155" s="37">
        <v>116798.77</v>
      </c>
      <c r="Y155" s="37">
        <v>116798.77</v>
      </c>
      <c r="Z155" s="37">
        <f t="shared" si="24"/>
        <v>116130.02167272457</v>
      </c>
      <c r="AA155" s="37">
        <f t="shared" si="25"/>
        <v>116034.49</v>
      </c>
      <c r="AB155" s="37">
        <f t="shared" si="25"/>
        <v>116034.49</v>
      </c>
      <c r="AC155" s="37">
        <f t="shared" si="25"/>
        <v>116034.49</v>
      </c>
      <c r="AD155" s="37">
        <f t="shared" si="25"/>
        <v>116034.49</v>
      </c>
      <c r="AE155" s="37">
        <f t="shared" si="25"/>
        <v>116034.49</v>
      </c>
      <c r="AF155" s="37">
        <f t="shared" si="20"/>
        <v>115938.93170907209</v>
      </c>
      <c r="AG155" s="37">
        <f t="shared" si="21"/>
        <v>1391695.5532969409</v>
      </c>
      <c r="AH155" s="37" t="b">
        <f t="shared" si="22"/>
        <v>1</v>
      </c>
      <c r="AI155" s="37"/>
      <c r="AJ155" s="37"/>
      <c r="AK155" s="37"/>
      <c r="AL155" s="37"/>
      <c r="AM155" s="37"/>
      <c r="AN155" s="37"/>
      <c r="AO155" s="37"/>
      <c r="AP155" s="207"/>
      <c r="AR155" s="37"/>
      <c r="AS155" s="37"/>
      <c r="AT155" s="37"/>
      <c r="AU155" s="37"/>
      <c r="AV155" s="37"/>
      <c r="AW155" s="37"/>
      <c r="AX155" s="37"/>
      <c r="AY155" s="37"/>
      <c r="AZ155" s="37"/>
      <c r="BA155" s="64"/>
    </row>
    <row r="156" spans="1:53">
      <c r="A156" s="231">
        <v>2067</v>
      </c>
      <c r="B156" s="4">
        <v>103196</v>
      </c>
      <c r="C156" s="4" t="s">
        <v>827</v>
      </c>
      <c r="D156" s="4" t="s">
        <v>828</v>
      </c>
      <c r="E156" s="213" t="s">
        <v>5</v>
      </c>
      <c r="F156" s="248" t="s">
        <v>411</v>
      </c>
      <c r="G156" s="37"/>
      <c r="H156" s="272">
        <f>_xlfn.IFNA(VLOOKUP(A156,ISB!$A$4:$BY$454,67,FALSE),0)</f>
        <v>2318399.906312943</v>
      </c>
      <c r="I156" s="272">
        <f>_xlfn.IFNA(VLOOKUP(A156,ISB!$A$4:$BY$454,72,FALSE),0)</f>
        <v>-9576.74</v>
      </c>
      <c r="J156" s="273">
        <f>-_xlfn.IFNA(VLOOKUP(A156,ISB!$A$4:$BY$454,76,FALSE),0)</f>
        <v>-38159.7696</v>
      </c>
      <c r="K156" s="273">
        <f>_xlfn.IFNA(VLOOKUP(A156,ISB!$A$4:$BY$454,77,FALSE),0)</f>
        <v>2270663.396712943</v>
      </c>
      <c r="L156" s="273">
        <f>_xlfn.IFNA(VLOOKUP(A156,'Post 16'!A:AC,13,FALSE),0)+(_xlfn.IFNA(VLOOKUP(A156,'Post 16'!A:AC,25,FALSE),0))</f>
        <v>0</v>
      </c>
      <c r="M156" s="273">
        <f>VLOOKUP(A156,HN!A:P,16,FALSE)</f>
        <v>0</v>
      </c>
      <c r="N156" s="273">
        <f>VLOOKUP(A156,HN!A:T,20,FALSE)</f>
        <v>0</v>
      </c>
      <c r="O156" s="273">
        <f>VLOOKUP(A156,EY!A:O,15,FALSE)</f>
        <v>107516.99999999999</v>
      </c>
      <c r="P156" s="273">
        <f>-VLOOKUP(A156,Adjustments!A:M,11,FALSE)</f>
        <v>0</v>
      </c>
      <c r="Q156" s="273"/>
      <c r="R156" s="273"/>
      <c r="S156" s="273">
        <f t="shared" si="23"/>
        <v>2378180.396712943</v>
      </c>
      <c r="T156" s="37"/>
      <c r="U156" s="37">
        <v>198573.25597607857</v>
      </c>
      <c r="V156" s="37">
        <v>198573.25597607857</v>
      </c>
      <c r="W156" s="37">
        <v>198573.25597607857</v>
      </c>
      <c r="X156" s="37">
        <v>198051.18</v>
      </c>
      <c r="Y156" s="37">
        <v>198051.18</v>
      </c>
      <c r="Z156" s="37">
        <f t="shared" si="24"/>
        <v>198051.18109808842</v>
      </c>
      <c r="AA156" s="37">
        <f t="shared" si="25"/>
        <v>198051.18</v>
      </c>
      <c r="AB156" s="37">
        <f t="shared" si="25"/>
        <v>198051.18</v>
      </c>
      <c r="AC156" s="37">
        <f t="shared" si="25"/>
        <v>198051.18</v>
      </c>
      <c r="AD156" s="37">
        <f t="shared" si="25"/>
        <v>198051.18</v>
      </c>
      <c r="AE156" s="37">
        <f t="shared" si="25"/>
        <v>198051.18</v>
      </c>
      <c r="AF156" s="37">
        <f t="shared" si="20"/>
        <v>198051.18768661935</v>
      </c>
      <c r="AG156" s="37">
        <f t="shared" si="21"/>
        <v>2378180.396712943</v>
      </c>
      <c r="AH156" s="37" t="b">
        <f t="shared" si="22"/>
        <v>1</v>
      </c>
      <c r="AI156" s="37"/>
      <c r="AJ156" s="37"/>
      <c r="AK156" s="37"/>
      <c r="AL156" s="37"/>
      <c r="AM156" s="37"/>
      <c r="AN156" s="37"/>
      <c r="AO156" s="37"/>
      <c r="AP156" s="207"/>
      <c r="AR156" s="37"/>
      <c r="AS156" s="37"/>
      <c r="AT156" s="37"/>
      <c r="AU156" s="37"/>
      <c r="AV156" s="37"/>
      <c r="AW156" s="37"/>
      <c r="AX156" s="37"/>
      <c r="AY156" s="37"/>
      <c r="AZ156" s="37"/>
      <c r="BA156" s="64"/>
    </row>
    <row r="157" spans="1:53">
      <c r="A157" s="231">
        <v>2246</v>
      </c>
      <c r="B157" s="4">
        <v>103296</v>
      </c>
      <c r="C157" s="4" t="s">
        <v>830</v>
      </c>
      <c r="D157" s="4" t="s">
        <v>831</v>
      </c>
      <c r="E157" s="213" t="s">
        <v>5</v>
      </c>
      <c r="F157" s="248" t="s">
        <v>411</v>
      </c>
      <c r="G157" s="37"/>
      <c r="H157" s="272">
        <f>_xlfn.IFNA(VLOOKUP(A157,ISB!$A$4:$BY$454,67,FALSE),0)</f>
        <v>2877906.3084955909</v>
      </c>
      <c r="I157" s="272">
        <f>_xlfn.IFNA(VLOOKUP(A157,ISB!$A$4:$BY$454,72,FALSE),0)</f>
        <v>-13587.94</v>
      </c>
      <c r="J157" s="273">
        <f>-_xlfn.IFNA(VLOOKUP(A157,ISB!$A$4:$BY$454,76,FALSE),0)</f>
        <v>-27029.836800000001</v>
      </c>
      <c r="K157" s="273">
        <f>_xlfn.IFNA(VLOOKUP(A157,ISB!$A$4:$BY$454,77,FALSE),0)</f>
        <v>2837288.5316955908</v>
      </c>
      <c r="L157" s="273">
        <f>_xlfn.IFNA(VLOOKUP(A157,'Post 16'!A:AC,13,FALSE),0)+(_xlfn.IFNA(VLOOKUP(A157,'Post 16'!A:AC,25,FALSE),0))</f>
        <v>0</v>
      </c>
      <c r="M157" s="273">
        <f>VLOOKUP(A157,HN!A:P,16,FALSE)</f>
        <v>0</v>
      </c>
      <c r="N157" s="273">
        <f>VLOOKUP(A157,HN!A:T,20,FALSE)</f>
        <v>357435.73557692306</v>
      </c>
      <c r="O157" s="273">
        <f>VLOOKUP(A157,EY!A:O,15,FALSE)</f>
        <v>0</v>
      </c>
      <c r="P157" s="273">
        <f>-VLOOKUP(A157,Adjustments!A:M,11,FALSE)</f>
        <v>-12566.4</v>
      </c>
      <c r="Q157" s="273"/>
      <c r="R157" s="273"/>
      <c r="S157" s="273">
        <f t="shared" si="23"/>
        <v>3182157.8672725139</v>
      </c>
      <c r="T157" s="37"/>
      <c r="U157" s="37">
        <v>235393.51097463258</v>
      </c>
      <c r="V157" s="37">
        <v>235393.51097463258</v>
      </c>
      <c r="W157" s="37">
        <v>235393.51097463258</v>
      </c>
      <c r="X157" s="37">
        <v>354538.7551923077</v>
      </c>
      <c r="Y157" s="37">
        <v>265179.82</v>
      </c>
      <c r="Z157" s="37">
        <f t="shared" si="24"/>
        <v>265179.82239453855</v>
      </c>
      <c r="AA157" s="37">
        <f t="shared" si="25"/>
        <v>265179.82</v>
      </c>
      <c r="AB157" s="37">
        <f t="shared" si="25"/>
        <v>265179.82</v>
      </c>
      <c r="AC157" s="37">
        <f t="shared" si="25"/>
        <v>265179.82</v>
      </c>
      <c r="AD157" s="37">
        <f t="shared" si="25"/>
        <v>265179.82</v>
      </c>
      <c r="AE157" s="37">
        <f t="shared" si="25"/>
        <v>265179.82</v>
      </c>
      <c r="AF157" s="37">
        <f t="shared" si="20"/>
        <v>265179.8367617703</v>
      </c>
      <c r="AG157" s="37">
        <f t="shared" si="21"/>
        <v>3182157.8672725139</v>
      </c>
      <c r="AH157" s="37" t="b">
        <f t="shared" si="22"/>
        <v>1</v>
      </c>
      <c r="AI157" s="37"/>
      <c r="AJ157" s="37"/>
      <c r="AK157" s="37"/>
      <c r="AL157" s="37"/>
      <c r="AM157" s="37"/>
      <c r="AN157" s="37"/>
      <c r="AO157" s="37"/>
      <c r="AP157" s="207"/>
      <c r="AR157" s="37"/>
      <c r="AS157" s="37"/>
      <c r="AT157" s="37"/>
      <c r="AU157" s="37"/>
      <c r="AV157" s="37"/>
      <c r="AW157" s="37"/>
      <c r="AX157" s="37"/>
      <c r="AY157" s="37"/>
      <c r="AZ157" s="37"/>
      <c r="BA157" s="64"/>
    </row>
    <row r="158" spans="1:53">
      <c r="A158" s="231">
        <v>2192</v>
      </c>
      <c r="B158" s="4">
        <v>103268</v>
      </c>
      <c r="C158" s="4" t="s">
        <v>833</v>
      </c>
      <c r="D158" s="4" t="s">
        <v>834</v>
      </c>
      <c r="E158" s="213" t="s">
        <v>5</v>
      </c>
      <c r="F158" s="248" t="s">
        <v>411</v>
      </c>
      <c r="G158" s="37"/>
      <c r="H158" s="272">
        <f>_xlfn.IFNA(VLOOKUP(A158,ISB!$A$4:$BY$454,67,FALSE),0)</f>
        <v>2556852.9011799651</v>
      </c>
      <c r="I158" s="272">
        <f>_xlfn.IFNA(VLOOKUP(A158,ISB!$A$4:$BY$454,72,FALSE),0)</f>
        <v>-12008.53</v>
      </c>
      <c r="J158" s="273">
        <f>-_xlfn.IFNA(VLOOKUP(A158,ISB!$A$4:$BY$454,76,FALSE),0)</f>
        <v>-33654.796799999996</v>
      </c>
      <c r="K158" s="273">
        <f>_xlfn.IFNA(VLOOKUP(A158,ISB!$A$4:$BY$454,77,FALSE),0)</f>
        <v>2511189.5743799652</v>
      </c>
      <c r="L158" s="273">
        <f>_xlfn.IFNA(VLOOKUP(A158,'Post 16'!A:AC,13,FALSE),0)+(_xlfn.IFNA(VLOOKUP(A158,'Post 16'!A:AC,25,FALSE),0))</f>
        <v>0</v>
      </c>
      <c r="M158" s="273">
        <f>VLOOKUP(A158,HN!A:P,16,FALSE)</f>
        <v>0</v>
      </c>
      <c r="N158" s="273">
        <f>VLOOKUP(A158,HN!A:T,20,FALSE)</f>
        <v>0</v>
      </c>
      <c r="O158" s="273">
        <f>VLOOKUP(A158,EY!A:O,15,FALSE)</f>
        <v>0</v>
      </c>
      <c r="P158" s="273">
        <f>-VLOOKUP(A158,Adjustments!A:M,11,FALSE)</f>
        <v>-12566.4</v>
      </c>
      <c r="Q158" s="273"/>
      <c r="R158" s="273"/>
      <c r="S158" s="273">
        <f t="shared" si="23"/>
        <v>2498623.1743799653</v>
      </c>
      <c r="T158" s="37"/>
      <c r="U158" s="37">
        <v>208218.59786499711</v>
      </c>
      <c r="V158" s="37">
        <v>208218.59786499711</v>
      </c>
      <c r="W158" s="37">
        <v>208218.59786499711</v>
      </c>
      <c r="X158" s="37">
        <v>208218.6</v>
      </c>
      <c r="Y158" s="37">
        <v>208218.6</v>
      </c>
      <c r="Z158" s="37">
        <f t="shared" si="24"/>
        <v>208218.59759812173</v>
      </c>
      <c r="AA158" s="37">
        <f t="shared" si="25"/>
        <v>208218.6</v>
      </c>
      <c r="AB158" s="37">
        <f t="shared" si="25"/>
        <v>208218.6</v>
      </c>
      <c r="AC158" s="37">
        <f t="shared" si="25"/>
        <v>208218.6</v>
      </c>
      <c r="AD158" s="37">
        <f t="shared" si="25"/>
        <v>208218.6</v>
      </c>
      <c r="AE158" s="37">
        <f t="shared" si="25"/>
        <v>208218.6</v>
      </c>
      <c r="AF158" s="37">
        <f t="shared" si="20"/>
        <v>208218.58318685181</v>
      </c>
      <c r="AG158" s="37">
        <f t="shared" si="21"/>
        <v>2498623.1743799653</v>
      </c>
      <c r="AH158" s="37" t="b">
        <f t="shared" si="22"/>
        <v>1</v>
      </c>
      <c r="AI158" s="37"/>
      <c r="AJ158" s="37"/>
      <c r="AK158" s="37"/>
      <c r="AL158" s="37"/>
      <c r="AM158" s="37"/>
      <c r="AN158" s="37"/>
      <c r="AO158" s="37"/>
      <c r="AP158" s="207"/>
      <c r="AR158" s="37"/>
      <c r="AS158" s="37"/>
      <c r="AT158" s="37"/>
      <c r="AU158" s="37"/>
      <c r="AV158" s="37"/>
      <c r="AW158" s="37"/>
      <c r="AX158" s="37"/>
      <c r="AY158" s="37"/>
      <c r="AZ158" s="37"/>
      <c r="BA158" s="64"/>
    </row>
    <row r="159" spans="1:53">
      <c r="A159" s="231">
        <v>2108</v>
      </c>
      <c r="B159" s="4">
        <v>103217</v>
      </c>
      <c r="C159" s="4" t="s">
        <v>836</v>
      </c>
      <c r="D159" s="4" t="s">
        <v>837</v>
      </c>
      <c r="E159" s="213" t="s">
        <v>5</v>
      </c>
      <c r="F159" s="248" t="s">
        <v>411</v>
      </c>
      <c r="G159" s="37"/>
      <c r="H159" s="272">
        <f>_xlfn.IFNA(VLOOKUP(A159,ISB!$A$4:$BY$454,67,FALSE),0)</f>
        <v>4569849.0581502458</v>
      </c>
      <c r="I159" s="272">
        <f>_xlfn.IFNA(VLOOKUP(A159,ISB!$A$4:$BY$454,72,FALSE),0)</f>
        <v>-21209.22</v>
      </c>
      <c r="J159" s="273">
        <f>-_xlfn.IFNA(VLOOKUP(A159,ISB!$A$4:$BY$454,76,FALSE),0)</f>
        <v>-70489.574399999998</v>
      </c>
      <c r="K159" s="273">
        <f>_xlfn.IFNA(VLOOKUP(A159,ISB!$A$4:$BY$454,77,FALSE),0)</f>
        <v>4478150.2637502458</v>
      </c>
      <c r="L159" s="273">
        <f>_xlfn.IFNA(VLOOKUP(A159,'Post 16'!A:AC,13,FALSE),0)+(_xlfn.IFNA(VLOOKUP(A159,'Post 16'!A:AC,25,FALSE),0))</f>
        <v>0</v>
      </c>
      <c r="M159" s="273">
        <f>VLOOKUP(A159,HN!A:P,16,FALSE)</f>
        <v>0</v>
      </c>
      <c r="N159" s="273">
        <f>VLOOKUP(A159,HN!A:T,20,FALSE)</f>
        <v>267801.92307692306</v>
      </c>
      <c r="O159" s="273">
        <f>VLOOKUP(A159,EY!A:O,15,FALSE)</f>
        <v>167855.7</v>
      </c>
      <c r="P159" s="273">
        <f>-VLOOKUP(A159,Adjustments!A:M,11,FALSE)</f>
        <v>-24312.75</v>
      </c>
      <c r="Q159" s="273"/>
      <c r="R159" s="273"/>
      <c r="S159" s="273">
        <f t="shared" si="23"/>
        <v>4889495.136827169</v>
      </c>
      <c r="T159" s="37"/>
      <c r="U159" s="37">
        <v>383675.48267570458</v>
      </c>
      <c r="V159" s="37">
        <v>383675.48267570458</v>
      </c>
      <c r="W159" s="37">
        <v>383675.48267570458</v>
      </c>
      <c r="X159" s="37">
        <v>474896.9476923077</v>
      </c>
      <c r="Y159" s="37">
        <v>407946.47</v>
      </c>
      <c r="Z159" s="37">
        <f t="shared" si="24"/>
        <v>407946.46763846849</v>
      </c>
      <c r="AA159" s="37">
        <f t="shared" si="25"/>
        <v>407946.47</v>
      </c>
      <c r="AB159" s="37">
        <f t="shared" si="25"/>
        <v>407946.47</v>
      </c>
      <c r="AC159" s="37">
        <f t="shared" si="25"/>
        <v>407946.47</v>
      </c>
      <c r="AD159" s="37">
        <f t="shared" si="25"/>
        <v>407946.47</v>
      </c>
      <c r="AE159" s="37">
        <f t="shared" si="25"/>
        <v>407946.47</v>
      </c>
      <c r="AF159" s="37">
        <f t="shared" si="20"/>
        <v>407946.45346928015</v>
      </c>
      <c r="AG159" s="37">
        <f t="shared" si="21"/>
        <v>4889495.136827169</v>
      </c>
      <c r="AH159" s="37" t="b">
        <f t="shared" si="22"/>
        <v>1</v>
      </c>
      <c r="AI159" s="37"/>
      <c r="AJ159" s="37"/>
      <c r="AK159" s="37"/>
      <c r="AL159" s="37"/>
      <c r="AM159" s="37"/>
      <c r="AN159" s="37"/>
      <c r="AO159" s="37"/>
      <c r="AP159" s="207"/>
      <c r="AR159" s="37"/>
      <c r="AS159" s="37"/>
      <c r="AT159" s="37"/>
      <c r="AU159" s="37"/>
      <c r="AV159" s="37"/>
      <c r="AW159" s="37"/>
      <c r="AX159" s="37"/>
      <c r="AY159" s="37"/>
      <c r="AZ159" s="37"/>
      <c r="BA159" s="64"/>
    </row>
    <row r="160" spans="1:53">
      <c r="A160" s="231">
        <v>1020</v>
      </c>
      <c r="B160" s="4">
        <v>103133</v>
      </c>
      <c r="C160" s="4" t="s">
        <v>839</v>
      </c>
      <c r="D160" s="4" t="s">
        <v>840</v>
      </c>
      <c r="E160" s="213" t="s">
        <v>180</v>
      </c>
      <c r="F160" s="248" t="s">
        <v>411</v>
      </c>
      <c r="G160" s="37"/>
      <c r="H160" s="272">
        <f>_xlfn.IFNA(VLOOKUP(A160,ISB!$A$4:$BY$454,67,FALSE),0)</f>
        <v>0</v>
      </c>
      <c r="I160" s="272">
        <f>_xlfn.IFNA(VLOOKUP(A160,ISB!$A$4:$BY$454,72,FALSE),0)</f>
        <v>0</v>
      </c>
      <c r="J160" s="273">
        <f>-_xlfn.IFNA(VLOOKUP(A160,ISB!$A$4:$BY$454,76,FALSE),0)</f>
        <v>0</v>
      </c>
      <c r="K160" s="273">
        <f>_xlfn.IFNA(VLOOKUP(A160,ISB!$A$4:$BY$454,77,FALSE),0)</f>
        <v>0</v>
      </c>
      <c r="L160" s="273">
        <f>_xlfn.IFNA(VLOOKUP(A160,'Post 16'!A:AC,13,FALSE),0)+(_xlfn.IFNA(VLOOKUP(A160,'Post 16'!A:AC,25,FALSE),0))</f>
        <v>0</v>
      </c>
      <c r="M160" s="273">
        <f>VLOOKUP(A160,HN!A:P,16,FALSE)</f>
        <v>0</v>
      </c>
      <c r="N160" s="273">
        <f>VLOOKUP(A160,HN!A:T,20,FALSE)</f>
        <v>0</v>
      </c>
      <c r="O160" s="273">
        <f>VLOOKUP(A160,EY!A:O,15,FALSE)</f>
        <v>1092286.26</v>
      </c>
      <c r="P160" s="273">
        <f>-VLOOKUP(A160,Adjustments!A:M,11,FALSE)</f>
        <v>-3291.75</v>
      </c>
      <c r="Q160" s="273"/>
      <c r="R160" s="273"/>
      <c r="S160" s="273">
        <f t="shared" si="23"/>
        <v>1088994.51</v>
      </c>
      <c r="T160" s="37"/>
      <c r="U160" s="37">
        <v>71786.535621831732</v>
      </c>
      <c r="V160" s="37">
        <v>71786.535621831732</v>
      </c>
      <c r="W160" s="37">
        <v>71786.535621831732</v>
      </c>
      <c r="X160" s="37">
        <v>97070.54</v>
      </c>
      <c r="Y160" s="37">
        <v>97070.55</v>
      </c>
      <c r="Z160" s="37">
        <f t="shared" si="24"/>
        <v>97070.545391813095</v>
      </c>
      <c r="AA160" s="37">
        <f t="shared" si="25"/>
        <v>97070.54</v>
      </c>
      <c r="AB160" s="37">
        <f t="shared" si="25"/>
        <v>97070.54</v>
      </c>
      <c r="AC160" s="37">
        <f t="shared" si="25"/>
        <v>97070.54</v>
      </c>
      <c r="AD160" s="37">
        <f t="shared" si="25"/>
        <v>97070.54</v>
      </c>
      <c r="AE160" s="37">
        <f t="shared" si="25"/>
        <v>97070.54</v>
      </c>
      <c r="AF160" s="37">
        <f t="shared" si="20"/>
        <v>97070.567742691608</v>
      </c>
      <c r="AG160" s="37">
        <f t="shared" si="21"/>
        <v>1088994.51</v>
      </c>
      <c r="AH160" s="37" t="b">
        <f t="shared" si="22"/>
        <v>1</v>
      </c>
      <c r="AI160" s="37"/>
      <c r="AJ160" s="37"/>
      <c r="AK160" s="37"/>
      <c r="AL160" s="37"/>
      <c r="AM160" s="37"/>
      <c r="AN160" s="37"/>
      <c r="AO160" s="37"/>
      <c r="AP160" s="207"/>
      <c r="AR160" s="37"/>
      <c r="AS160" s="37"/>
      <c r="AT160" s="37"/>
      <c r="AU160" s="37"/>
      <c r="AV160" s="37"/>
      <c r="AW160" s="37"/>
      <c r="AX160" s="37"/>
      <c r="AY160" s="37"/>
      <c r="AZ160" s="37"/>
      <c r="BA160" s="64"/>
    </row>
    <row r="161" spans="1:53">
      <c r="A161" s="231">
        <v>1014</v>
      </c>
      <c r="B161" s="4">
        <v>103127</v>
      </c>
      <c r="C161" s="4" t="s">
        <v>842</v>
      </c>
      <c r="D161" s="4" t="s">
        <v>843</v>
      </c>
      <c r="E161" s="213" t="s">
        <v>180</v>
      </c>
      <c r="F161" s="248" t="s">
        <v>411</v>
      </c>
      <c r="G161" s="37"/>
      <c r="H161" s="272">
        <f>_xlfn.IFNA(VLOOKUP(A161,ISB!$A$4:$BY$454,67,FALSE),0)</f>
        <v>0</v>
      </c>
      <c r="I161" s="272">
        <f>_xlfn.IFNA(VLOOKUP(A161,ISB!$A$4:$BY$454,72,FALSE),0)</f>
        <v>0</v>
      </c>
      <c r="J161" s="273">
        <f>-_xlfn.IFNA(VLOOKUP(A161,ISB!$A$4:$BY$454,76,FALSE),0)</f>
        <v>0</v>
      </c>
      <c r="K161" s="273">
        <f>_xlfn.IFNA(VLOOKUP(A161,ISB!$A$4:$BY$454,77,FALSE),0)</f>
        <v>0</v>
      </c>
      <c r="L161" s="273">
        <f>_xlfn.IFNA(VLOOKUP(A161,'Post 16'!A:AC,13,FALSE),0)+(_xlfn.IFNA(VLOOKUP(A161,'Post 16'!A:AC,25,FALSE),0))</f>
        <v>0</v>
      </c>
      <c r="M161" s="273">
        <f>VLOOKUP(A161,HN!A:P,16,FALSE)</f>
        <v>0</v>
      </c>
      <c r="N161" s="273">
        <f>VLOOKUP(A161,HN!A:T,20,FALSE)</f>
        <v>0</v>
      </c>
      <c r="O161" s="273">
        <f>VLOOKUP(A161,EY!A:O,15,FALSE)</f>
        <v>757346.6100000001</v>
      </c>
      <c r="P161" s="273">
        <f>-VLOOKUP(A161,Adjustments!A:M,11,FALSE)</f>
        <v>-3291.75</v>
      </c>
      <c r="Q161" s="273"/>
      <c r="R161" s="273"/>
      <c r="S161" s="273">
        <f t="shared" si="23"/>
        <v>754054.8600000001</v>
      </c>
      <c r="T161" s="37"/>
      <c r="U161" s="37">
        <v>52075.070018115941</v>
      </c>
      <c r="V161" s="37">
        <v>52075.070018115941</v>
      </c>
      <c r="W161" s="37">
        <v>52075.070018115941</v>
      </c>
      <c r="X161" s="37">
        <v>66425.52</v>
      </c>
      <c r="Y161" s="37">
        <v>66425.52</v>
      </c>
      <c r="Z161" s="37">
        <f t="shared" si="24"/>
        <v>66425.516243206541</v>
      </c>
      <c r="AA161" s="37">
        <f t="shared" si="25"/>
        <v>66425.52</v>
      </c>
      <c r="AB161" s="37">
        <f t="shared" si="25"/>
        <v>66425.52</v>
      </c>
      <c r="AC161" s="37">
        <f t="shared" si="25"/>
        <v>66425.52</v>
      </c>
      <c r="AD161" s="37">
        <f t="shared" si="25"/>
        <v>66425.52</v>
      </c>
      <c r="AE161" s="37">
        <f t="shared" si="25"/>
        <v>66425.52</v>
      </c>
      <c r="AF161" s="37">
        <f t="shared" si="20"/>
        <v>66425.493702445645</v>
      </c>
      <c r="AG161" s="37">
        <f t="shared" si="21"/>
        <v>754054.8600000001</v>
      </c>
      <c r="AH161" s="37" t="b">
        <f t="shared" si="22"/>
        <v>1</v>
      </c>
      <c r="AI161" s="37"/>
      <c r="AJ161" s="37"/>
      <c r="AK161" s="37"/>
      <c r="AL161" s="37"/>
      <c r="AM161" s="37"/>
      <c r="AN161" s="37"/>
      <c r="AO161" s="37"/>
      <c r="AP161" s="207"/>
      <c r="AR161" s="37"/>
      <c r="AS161" s="37"/>
      <c r="AT161" s="37"/>
      <c r="AU161" s="37"/>
      <c r="AV161" s="37"/>
      <c r="AW161" s="37"/>
      <c r="AX161" s="37"/>
      <c r="AY161" s="37"/>
      <c r="AZ161" s="37"/>
      <c r="BA161" s="64"/>
    </row>
    <row r="162" spans="1:53">
      <c r="A162" s="231">
        <v>2019</v>
      </c>
      <c r="B162" s="4">
        <v>134279</v>
      </c>
      <c r="C162" s="4" t="s">
        <v>845</v>
      </c>
      <c r="D162" s="4" t="s">
        <v>846</v>
      </c>
      <c r="E162" s="213" t="s">
        <v>5</v>
      </c>
      <c r="F162" s="248" t="s">
        <v>411</v>
      </c>
      <c r="G162" s="37"/>
      <c r="H162" s="272">
        <f>_xlfn.IFNA(VLOOKUP(A162,ISB!$A$4:$BY$454,67,FALSE),0)</f>
        <v>2212701.9098363789</v>
      </c>
      <c r="I162" s="272">
        <f>_xlfn.IFNA(VLOOKUP(A162,ISB!$A$4:$BY$454,72,FALSE),0)</f>
        <v>-10153.35</v>
      </c>
      <c r="J162" s="273">
        <f>-_xlfn.IFNA(VLOOKUP(A162,ISB!$A$4:$BY$454,76,FALSE),0)</f>
        <v>-57582.767999999996</v>
      </c>
      <c r="K162" s="273">
        <f>_xlfn.IFNA(VLOOKUP(A162,ISB!$A$4:$BY$454,77,FALSE),0)</f>
        <v>2144965.7918363786</v>
      </c>
      <c r="L162" s="273">
        <f>_xlfn.IFNA(VLOOKUP(A162,'Post 16'!A:AC,13,FALSE),0)+(_xlfn.IFNA(VLOOKUP(A162,'Post 16'!A:AC,25,FALSE),0))</f>
        <v>0</v>
      </c>
      <c r="M162" s="273">
        <f>VLOOKUP(A162,HN!A:P,16,FALSE)</f>
        <v>0</v>
      </c>
      <c r="N162" s="273">
        <f>VLOOKUP(A162,HN!A:T,20,FALSE)</f>
        <v>0</v>
      </c>
      <c r="O162" s="273">
        <f>VLOOKUP(A162,EY!A:O,15,FALSE)</f>
        <v>0</v>
      </c>
      <c r="P162" s="273">
        <f>-VLOOKUP(A162,Adjustments!A:M,11,FALSE)</f>
        <v>-9471</v>
      </c>
      <c r="Q162" s="273"/>
      <c r="R162" s="273"/>
      <c r="S162" s="273">
        <f t="shared" si="23"/>
        <v>2135494.7918363786</v>
      </c>
      <c r="T162" s="37"/>
      <c r="U162" s="37">
        <v>177957.89931969822</v>
      </c>
      <c r="V162" s="37">
        <v>177957.89931969822</v>
      </c>
      <c r="W162" s="37">
        <v>177957.89931969822</v>
      </c>
      <c r="X162" s="37">
        <v>177957.9</v>
      </c>
      <c r="Y162" s="37">
        <v>177957.9</v>
      </c>
      <c r="Z162" s="37">
        <f t="shared" si="24"/>
        <v>177957.89923466049</v>
      </c>
      <c r="AA162" s="37">
        <f t="shared" si="25"/>
        <v>177957.9</v>
      </c>
      <c r="AB162" s="37">
        <f t="shared" si="25"/>
        <v>177957.9</v>
      </c>
      <c r="AC162" s="37">
        <f t="shared" si="25"/>
        <v>177957.9</v>
      </c>
      <c r="AD162" s="37">
        <f t="shared" si="25"/>
        <v>177957.9</v>
      </c>
      <c r="AE162" s="37">
        <f t="shared" si="25"/>
        <v>177957.9</v>
      </c>
      <c r="AF162" s="37">
        <f t="shared" si="20"/>
        <v>177957.89464262384</v>
      </c>
      <c r="AG162" s="37">
        <f t="shared" si="21"/>
        <v>2135494.7918363786</v>
      </c>
      <c r="AH162" s="37" t="b">
        <f t="shared" si="22"/>
        <v>1</v>
      </c>
      <c r="AI162" s="37"/>
      <c r="AJ162" s="37"/>
      <c r="AK162" s="37"/>
      <c r="AL162" s="37"/>
      <c r="AM162" s="37"/>
      <c r="AN162" s="37"/>
      <c r="AO162" s="37"/>
      <c r="AP162" s="207"/>
      <c r="AR162" s="37"/>
      <c r="AS162" s="37"/>
      <c r="AT162" s="37"/>
      <c r="AU162" s="37"/>
      <c r="AV162" s="37"/>
      <c r="AW162" s="37"/>
      <c r="AX162" s="37"/>
      <c r="AY162" s="37"/>
      <c r="AZ162" s="37"/>
      <c r="BA162" s="64"/>
    </row>
    <row r="163" spans="1:53">
      <c r="A163" s="231">
        <v>2314</v>
      </c>
      <c r="B163" s="4">
        <v>103334</v>
      </c>
      <c r="C163" s="4" t="s">
        <v>848</v>
      </c>
      <c r="D163" s="4" t="s">
        <v>849</v>
      </c>
      <c r="E163" s="213" t="s">
        <v>5</v>
      </c>
      <c r="F163" s="248" t="s">
        <v>411</v>
      </c>
      <c r="G163" s="37"/>
      <c r="H163" s="272">
        <f>_xlfn.IFNA(VLOOKUP(A163,ISB!$A$4:$BY$454,67,FALSE),0)</f>
        <v>1089721.5038349098</v>
      </c>
      <c r="I163" s="272">
        <f>_xlfn.IFNA(VLOOKUP(A163,ISB!$A$4:$BY$454,72,FALSE),0)</f>
        <v>-5364.9800000000005</v>
      </c>
      <c r="J163" s="273">
        <f>-_xlfn.IFNA(VLOOKUP(A163,ISB!$A$4:$BY$454,76,FALSE),0)</f>
        <v>-18595.434600000001</v>
      </c>
      <c r="K163" s="273">
        <f>_xlfn.IFNA(VLOOKUP(A163,ISB!$A$4:$BY$454,77,FALSE),0)</f>
        <v>1065761.0892349097</v>
      </c>
      <c r="L163" s="273">
        <f>_xlfn.IFNA(VLOOKUP(A163,'Post 16'!A:AC,13,FALSE),0)+(_xlfn.IFNA(VLOOKUP(A163,'Post 16'!A:AC,25,FALSE),0))</f>
        <v>0</v>
      </c>
      <c r="M163" s="273">
        <f>VLOOKUP(A163,HN!A:P,16,FALSE)</f>
        <v>0</v>
      </c>
      <c r="N163" s="273">
        <f>VLOOKUP(A163,HN!A:T,20,FALSE)</f>
        <v>0</v>
      </c>
      <c r="O163" s="273">
        <f>VLOOKUP(A163,EY!A:O,15,FALSE)</f>
        <v>0</v>
      </c>
      <c r="P163" s="273">
        <f>-VLOOKUP(A163,Adjustments!A:M,11,FALSE)</f>
        <v>-5139.75</v>
      </c>
      <c r="Q163" s="273"/>
      <c r="R163" s="273"/>
      <c r="S163" s="273">
        <f t="shared" si="23"/>
        <v>1060621.3392349097</v>
      </c>
      <c r="T163" s="37"/>
      <c r="U163" s="37">
        <v>88385.11160290915</v>
      </c>
      <c r="V163" s="37">
        <v>88385.11160290915</v>
      </c>
      <c r="W163" s="37">
        <v>88385.11160290915</v>
      </c>
      <c r="X163" s="37">
        <v>88385.11</v>
      </c>
      <c r="Y163" s="37">
        <v>88385.11</v>
      </c>
      <c r="Z163" s="37">
        <f t="shared" si="24"/>
        <v>88385.111803272797</v>
      </c>
      <c r="AA163" s="37">
        <f t="shared" si="25"/>
        <v>88385.11</v>
      </c>
      <c r="AB163" s="37">
        <f t="shared" si="25"/>
        <v>88385.11</v>
      </c>
      <c r="AC163" s="37">
        <f t="shared" si="25"/>
        <v>88385.11</v>
      </c>
      <c r="AD163" s="37">
        <f t="shared" si="25"/>
        <v>88385.11</v>
      </c>
      <c r="AE163" s="37">
        <f t="shared" si="25"/>
        <v>88385.11</v>
      </c>
      <c r="AF163" s="37">
        <f t="shared" si="20"/>
        <v>88385.122622909606</v>
      </c>
      <c r="AG163" s="37">
        <f t="shared" si="21"/>
        <v>1060621.3392349097</v>
      </c>
      <c r="AH163" s="37" t="b">
        <f t="shared" si="22"/>
        <v>1</v>
      </c>
      <c r="AI163" s="37"/>
      <c r="AJ163" s="37"/>
      <c r="AK163" s="37"/>
      <c r="AL163" s="37"/>
      <c r="AM163" s="37"/>
      <c r="AN163" s="37"/>
      <c r="AO163" s="37"/>
      <c r="AP163" s="207"/>
      <c r="AR163" s="37"/>
      <c r="AS163" s="37"/>
      <c r="AT163" s="37"/>
      <c r="AU163" s="37"/>
      <c r="AV163" s="37"/>
      <c r="AW163" s="37"/>
      <c r="AX163" s="37"/>
      <c r="AY163" s="37"/>
      <c r="AZ163" s="37"/>
      <c r="BA163" s="64"/>
    </row>
    <row r="164" spans="1:53">
      <c r="A164" s="231">
        <v>2227</v>
      </c>
      <c r="B164" s="4">
        <v>103281</v>
      </c>
      <c r="C164" s="4" t="s">
        <v>851</v>
      </c>
      <c r="D164" s="4" t="s">
        <v>852</v>
      </c>
      <c r="E164" s="213" t="s">
        <v>5</v>
      </c>
      <c r="F164" s="248" t="s">
        <v>411</v>
      </c>
      <c r="G164" s="37"/>
      <c r="H164" s="272">
        <f>_xlfn.IFNA(VLOOKUP(A164,ISB!$A$4:$BY$454,67,FALSE),0)</f>
        <v>2523224.8418589816</v>
      </c>
      <c r="I164" s="272">
        <f>_xlfn.IFNA(VLOOKUP(A164,ISB!$A$4:$BY$454,72,FALSE),0)</f>
        <v>-10604.61</v>
      </c>
      <c r="J164" s="273">
        <f>-_xlfn.IFNA(VLOOKUP(A164,ISB!$A$4:$BY$454,76,FALSE),0)</f>
        <v>-20919.8665</v>
      </c>
      <c r="K164" s="273">
        <f>_xlfn.IFNA(VLOOKUP(A164,ISB!$A$4:$BY$454,77,FALSE),0)</f>
        <v>2491700.3653589818</v>
      </c>
      <c r="L164" s="273">
        <f>_xlfn.IFNA(VLOOKUP(A164,'Post 16'!A:AC,13,FALSE),0)+(_xlfn.IFNA(VLOOKUP(A164,'Post 16'!A:AC,25,FALSE),0))</f>
        <v>0</v>
      </c>
      <c r="M164" s="273">
        <f>VLOOKUP(A164,HN!A:P,16,FALSE)</f>
        <v>0</v>
      </c>
      <c r="N164" s="273">
        <f>VLOOKUP(A164,HN!A:T,20,FALSE)</f>
        <v>0</v>
      </c>
      <c r="O164" s="273">
        <f>VLOOKUP(A164,EY!A:O,15,FALSE)</f>
        <v>203144.2</v>
      </c>
      <c r="P164" s="273">
        <f>-VLOOKUP(A164,Adjustments!A:M,11,FALSE)</f>
        <v>-9471</v>
      </c>
      <c r="Q164" s="273"/>
      <c r="R164" s="273"/>
      <c r="S164" s="273">
        <f t="shared" si="23"/>
        <v>2685373.565358982</v>
      </c>
      <c r="T164" s="37"/>
      <c r="U164" s="37">
        <v>221152.29745108631</v>
      </c>
      <c r="V164" s="37">
        <v>221152.29745108631</v>
      </c>
      <c r="W164" s="37">
        <v>221152.29745108631</v>
      </c>
      <c r="X164" s="37">
        <v>224657.41</v>
      </c>
      <c r="Y164" s="37">
        <v>224657.41</v>
      </c>
      <c r="Z164" s="37">
        <f t="shared" si="24"/>
        <v>224657.40787571538</v>
      </c>
      <c r="AA164" s="37">
        <f t="shared" si="25"/>
        <v>224657.41</v>
      </c>
      <c r="AB164" s="37">
        <f t="shared" si="25"/>
        <v>224657.41</v>
      </c>
      <c r="AC164" s="37">
        <f t="shared" si="25"/>
        <v>224657.41</v>
      </c>
      <c r="AD164" s="37">
        <f t="shared" si="25"/>
        <v>224657.41</v>
      </c>
      <c r="AE164" s="37">
        <f t="shared" si="25"/>
        <v>224657.41</v>
      </c>
      <c r="AF164" s="37">
        <f t="shared" si="20"/>
        <v>224657.39513000799</v>
      </c>
      <c r="AG164" s="37">
        <f t="shared" si="21"/>
        <v>2685373.565358982</v>
      </c>
      <c r="AH164" s="37" t="b">
        <f t="shared" si="22"/>
        <v>1</v>
      </c>
      <c r="AI164" s="37"/>
      <c r="AJ164" s="37"/>
      <c r="AK164" s="37"/>
      <c r="AL164" s="37"/>
      <c r="AM164" s="37"/>
      <c r="AN164" s="37"/>
      <c r="AO164" s="37"/>
      <c r="AP164" s="207"/>
      <c r="AR164" s="37"/>
      <c r="AS164" s="37"/>
      <c r="AT164" s="37"/>
      <c r="AU164" s="37"/>
      <c r="AV164" s="37"/>
      <c r="AW164" s="37"/>
      <c r="AX164" s="37"/>
      <c r="AY164" s="37"/>
      <c r="AZ164" s="37"/>
      <c r="BA164" s="64"/>
    </row>
    <row r="165" spans="1:53">
      <c r="A165" s="231">
        <v>2231</v>
      </c>
      <c r="B165" s="4">
        <v>103284</v>
      </c>
      <c r="C165" s="4" t="s">
        <v>854</v>
      </c>
      <c r="D165" s="4" t="s">
        <v>855</v>
      </c>
      <c r="E165" s="213" t="s">
        <v>5</v>
      </c>
      <c r="F165" s="248" t="s">
        <v>411</v>
      </c>
      <c r="G165" s="37"/>
      <c r="H165" s="272">
        <f>_xlfn.IFNA(VLOOKUP(A165,ISB!$A$4:$BY$454,67,FALSE),0)</f>
        <v>2235988.863361483</v>
      </c>
      <c r="I165" s="272">
        <f>_xlfn.IFNA(VLOOKUP(A165,ISB!$A$4:$BY$454,72,FALSE),0)</f>
        <v>-10654.75</v>
      </c>
      <c r="J165" s="273">
        <f>-_xlfn.IFNA(VLOOKUP(A165,ISB!$A$4:$BY$454,76,FALSE),0)</f>
        <v>-25697.861400000002</v>
      </c>
      <c r="K165" s="273">
        <f>_xlfn.IFNA(VLOOKUP(A165,ISB!$A$4:$BY$454,77,FALSE),0)</f>
        <v>2199636.2519614832</v>
      </c>
      <c r="L165" s="273">
        <f>_xlfn.IFNA(VLOOKUP(A165,'Post 16'!A:AC,13,FALSE),0)+(_xlfn.IFNA(VLOOKUP(A165,'Post 16'!A:AC,25,FALSE),0))</f>
        <v>0</v>
      </c>
      <c r="M165" s="273">
        <f>VLOOKUP(A165,HN!A:P,16,FALSE)</f>
        <v>0</v>
      </c>
      <c r="N165" s="273">
        <f>VLOOKUP(A165,HN!A:T,20,FALSE)</f>
        <v>0</v>
      </c>
      <c r="O165" s="273">
        <f>VLOOKUP(A165,EY!A:O,15,FALSE)</f>
        <v>114042.90000000001</v>
      </c>
      <c r="P165" s="273">
        <f>-VLOOKUP(A165,Adjustments!A:M,11,FALSE)</f>
        <v>-9471</v>
      </c>
      <c r="Q165" s="273"/>
      <c r="R165" s="273"/>
      <c r="S165" s="273">
        <f t="shared" si="23"/>
        <v>2304208.1519614831</v>
      </c>
      <c r="T165" s="37"/>
      <c r="U165" s="37">
        <v>192610.44982561909</v>
      </c>
      <c r="V165" s="37">
        <v>192610.44982561909</v>
      </c>
      <c r="W165" s="37">
        <v>192610.44982561909</v>
      </c>
      <c r="X165" s="37">
        <v>191819.64</v>
      </c>
      <c r="Y165" s="37">
        <v>191819.65</v>
      </c>
      <c r="Z165" s="37">
        <f t="shared" si="24"/>
        <v>191819.64531057823</v>
      </c>
      <c r="AA165" s="37">
        <f t="shared" si="25"/>
        <v>191819.64</v>
      </c>
      <c r="AB165" s="37">
        <f t="shared" si="25"/>
        <v>191819.64</v>
      </c>
      <c r="AC165" s="37">
        <f t="shared" si="25"/>
        <v>191819.64</v>
      </c>
      <c r="AD165" s="37">
        <f t="shared" si="25"/>
        <v>191819.64</v>
      </c>
      <c r="AE165" s="37">
        <f t="shared" si="25"/>
        <v>191819.64</v>
      </c>
      <c r="AF165" s="37">
        <f t="shared" si="20"/>
        <v>191819.66717404686</v>
      </c>
      <c r="AG165" s="37">
        <f t="shared" si="21"/>
        <v>2304208.1519614831</v>
      </c>
      <c r="AH165" s="37" t="b">
        <f t="shared" si="22"/>
        <v>1</v>
      </c>
      <c r="AI165" s="37"/>
      <c r="AJ165" s="37"/>
      <c r="AK165" s="37"/>
      <c r="AL165" s="37"/>
      <c r="AM165" s="37"/>
      <c r="AN165" s="37"/>
      <c r="AO165" s="37"/>
      <c r="AP165" s="207"/>
      <c r="AR165" s="37"/>
      <c r="AS165" s="37"/>
      <c r="AT165" s="37"/>
      <c r="AU165" s="37"/>
      <c r="AV165" s="37"/>
      <c r="AW165" s="37"/>
      <c r="AX165" s="37"/>
      <c r="AY165" s="37"/>
      <c r="AZ165" s="37"/>
      <c r="BA165" s="64"/>
    </row>
    <row r="166" spans="1:53">
      <c r="A166" s="231">
        <v>2153</v>
      </c>
      <c r="B166" s="4">
        <v>103243</v>
      </c>
      <c r="C166" s="4" t="s">
        <v>414</v>
      </c>
      <c r="D166" s="4" t="s">
        <v>416</v>
      </c>
      <c r="E166" s="213" t="s">
        <v>5</v>
      </c>
      <c r="F166" s="248" t="s">
        <v>415</v>
      </c>
      <c r="G166" s="37"/>
      <c r="H166" s="272">
        <f>_xlfn.IFNA(VLOOKUP(A166,ISB!$A$4:$BY$454,67,FALSE),0)</f>
        <v>2380767.8051763223</v>
      </c>
      <c r="I166" s="272">
        <f>_xlfn.IFNA(VLOOKUP(A166,ISB!$A$4:$BY$454,72,FALSE),0)</f>
        <v>-10378.98</v>
      </c>
      <c r="J166" s="273">
        <f>-_xlfn.IFNA(VLOOKUP(A166,ISB!$A$4:$BY$454,76,FALSE),0)</f>
        <v>-24708.453699999998</v>
      </c>
      <c r="K166" s="273">
        <f>_xlfn.IFNA(VLOOKUP(A166,ISB!$A$4:$BY$454,77,FALSE),0)</f>
        <v>2345680.3714763224</v>
      </c>
      <c r="L166" s="273">
        <f>_xlfn.IFNA(VLOOKUP(A166,'Post 16'!A:AC,13,FALSE),0)+(_xlfn.IFNA(VLOOKUP(A166,'Post 16'!A:AC,25,FALSE),0))</f>
        <v>0</v>
      </c>
      <c r="M166" s="273">
        <f>VLOOKUP(A166,HN!A:P,16,FALSE)</f>
        <v>0</v>
      </c>
      <c r="N166" s="273">
        <f>VLOOKUP(A166,HN!A:T,20,FALSE)</f>
        <v>645189.42307692312</v>
      </c>
      <c r="O166" s="273">
        <f>VLOOKUP(A166,EY!A:O,15,FALSE)</f>
        <v>0</v>
      </c>
      <c r="P166" s="273">
        <f>-VLOOKUP(A166,Adjustments!A:M,11,FALSE)</f>
        <v>-9471</v>
      </c>
      <c r="Q166" s="273"/>
      <c r="R166" s="273"/>
      <c r="S166" s="273">
        <f t="shared" si="23"/>
        <v>2981398.7945532454</v>
      </c>
      <c r="T166" s="37"/>
      <c r="U166" s="37">
        <v>194684.11428969353</v>
      </c>
      <c r="V166" s="37">
        <v>194684.11428969353</v>
      </c>
      <c r="W166" s="37">
        <v>194684.11428969353</v>
      </c>
      <c r="X166" s="37">
        <v>409747.25102564099</v>
      </c>
      <c r="Y166" s="37">
        <v>248449.9</v>
      </c>
      <c r="Z166" s="37">
        <f t="shared" si="24"/>
        <v>248449.90008231549</v>
      </c>
      <c r="AA166" s="37">
        <f t="shared" si="25"/>
        <v>248449.9</v>
      </c>
      <c r="AB166" s="37">
        <f t="shared" si="25"/>
        <v>248449.9</v>
      </c>
      <c r="AC166" s="37">
        <f t="shared" si="25"/>
        <v>248449.9</v>
      </c>
      <c r="AD166" s="37">
        <f t="shared" si="25"/>
        <v>248449.9</v>
      </c>
      <c r="AE166" s="37">
        <f t="shared" si="25"/>
        <v>248449.9</v>
      </c>
      <c r="AF166" s="37">
        <f t="shared" si="20"/>
        <v>248449.90057620872</v>
      </c>
      <c r="AG166" s="37">
        <f t="shared" si="21"/>
        <v>2981398.7945532454</v>
      </c>
      <c r="AH166" s="37" t="b">
        <f t="shared" si="22"/>
        <v>1</v>
      </c>
      <c r="AI166" s="37"/>
      <c r="AJ166" s="37"/>
      <c r="AK166" s="37"/>
      <c r="AL166" s="37"/>
      <c r="AM166" s="37"/>
      <c r="AN166" s="37"/>
      <c r="AO166" s="37"/>
      <c r="AP166" s="207"/>
      <c r="AR166" s="37"/>
      <c r="AS166" s="37"/>
      <c r="AT166" s="37"/>
      <c r="AU166" s="37"/>
      <c r="AV166" s="37"/>
      <c r="AW166" s="37"/>
      <c r="AX166" s="37"/>
      <c r="AY166" s="37"/>
      <c r="AZ166" s="37"/>
      <c r="BA166" s="64"/>
    </row>
    <row r="167" spans="1:53">
      <c r="A167" s="231">
        <v>2479</v>
      </c>
      <c r="B167" s="4">
        <v>132074</v>
      </c>
      <c r="C167" s="4" t="s">
        <v>418</v>
      </c>
      <c r="D167" s="4" t="s">
        <v>419</v>
      </c>
      <c r="E167" s="213" t="s">
        <v>5</v>
      </c>
      <c r="F167" s="248" t="s">
        <v>415</v>
      </c>
      <c r="G167" s="37"/>
      <c r="H167" s="272">
        <f>_xlfn.IFNA(VLOOKUP(A167,ISB!$A$4:$BY$454,67,FALSE),0)</f>
        <v>3648230.6968243695</v>
      </c>
      <c r="I167" s="272">
        <f>_xlfn.IFNA(VLOOKUP(A167,ISB!$A$4:$BY$454,72,FALSE),0)</f>
        <v>-16170.15</v>
      </c>
      <c r="J167" s="273">
        <f>-_xlfn.IFNA(VLOOKUP(A167,ISB!$A$4:$BY$454,76,FALSE),0)</f>
        <v>-31269.8112</v>
      </c>
      <c r="K167" s="273">
        <f>_xlfn.IFNA(VLOOKUP(A167,ISB!$A$4:$BY$454,77,FALSE),0)</f>
        <v>3600790.7356243697</v>
      </c>
      <c r="L167" s="273">
        <f>_xlfn.IFNA(VLOOKUP(A167,'Post 16'!A:AC,13,FALSE),0)+(_xlfn.IFNA(VLOOKUP(A167,'Post 16'!A:AC,25,FALSE),0))</f>
        <v>0</v>
      </c>
      <c r="M167" s="273">
        <f>VLOOKUP(A167,HN!A:P,16,FALSE)</f>
        <v>0</v>
      </c>
      <c r="N167" s="273">
        <f>VLOOKUP(A167,HN!A:T,20,FALSE)</f>
        <v>165678.26846153845</v>
      </c>
      <c r="O167" s="273">
        <f>VLOOKUP(A167,EY!A:O,15,FALSE)</f>
        <v>261231.39999999997</v>
      </c>
      <c r="P167" s="273">
        <f>-VLOOKUP(A167,Adjustments!A:M,11,FALSE)</f>
        <v>-18745.650000000001</v>
      </c>
      <c r="Q167" s="273"/>
      <c r="R167" s="273"/>
      <c r="S167" s="273">
        <f t="shared" si="23"/>
        <v>4008954.7540859082</v>
      </c>
      <c r="T167" s="37"/>
      <c r="U167" s="37">
        <v>319858.42606996332</v>
      </c>
      <c r="V167" s="37">
        <v>319858.42606996332</v>
      </c>
      <c r="W167" s="37">
        <v>319858.42606996332</v>
      </c>
      <c r="X167" s="37">
        <v>375637.33948717947</v>
      </c>
      <c r="Y167" s="37">
        <v>334217.77</v>
      </c>
      <c r="Z167" s="37">
        <f t="shared" si="24"/>
        <v>334217.76704860484</v>
      </c>
      <c r="AA167" s="37">
        <f t="shared" si="25"/>
        <v>334217.77</v>
      </c>
      <c r="AB167" s="37">
        <f t="shared" si="25"/>
        <v>334217.77</v>
      </c>
      <c r="AC167" s="37">
        <f t="shared" si="25"/>
        <v>334217.77</v>
      </c>
      <c r="AD167" s="37">
        <f t="shared" si="25"/>
        <v>334217.77</v>
      </c>
      <c r="AE167" s="37">
        <f t="shared" si="25"/>
        <v>334217.77</v>
      </c>
      <c r="AF167" s="37">
        <f t="shared" si="20"/>
        <v>334217.74934023386</v>
      </c>
      <c r="AG167" s="37">
        <f t="shared" si="21"/>
        <v>4008954.7540859082</v>
      </c>
      <c r="AH167" s="37" t="b">
        <f t="shared" si="22"/>
        <v>1</v>
      </c>
      <c r="AI167" s="37"/>
      <c r="AJ167" s="37"/>
      <c r="AK167" s="37"/>
      <c r="AL167" s="37"/>
      <c r="AM167" s="37"/>
      <c r="AN167" s="37"/>
      <c r="AO167" s="37"/>
      <c r="AP167" s="207"/>
      <c r="AR167" s="37"/>
      <c r="AS167" s="37"/>
      <c r="AT167" s="37"/>
      <c r="AU167" s="37"/>
      <c r="AV167" s="37"/>
      <c r="AW167" s="37"/>
      <c r="AX167" s="37"/>
      <c r="AY167" s="37"/>
      <c r="AZ167" s="37"/>
      <c r="BA167" s="64"/>
    </row>
    <row r="168" spans="1:53">
      <c r="A168" s="231">
        <v>2239</v>
      </c>
      <c r="B168" s="4">
        <v>103289</v>
      </c>
      <c r="C168" s="4" t="s">
        <v>421</v>
      </c>
      <c r="D168" s="4" t="s">
        <v>422</v>
      </c>
      <c r="E168" s="213" t="s">
        <v>5</v>
      </c>
      <c r="F168" s="248" t="s">
        <v>415</v>
      </c>
      <c r="G168" s="37"/>
      <c r="H168" s="272">
        <f>_xlfn.IFNA(VLOOKUP(A168,ISB!$A$4:$BY$454,67,FALSE),0)</f>
        <v>1009790.6116657542</v>
      </c>
      <c r="I168" s="272">
        <f>_xlfn.IFNA(VLOOKUP(A168,ISB!$A$4:$BY$454,72,FALSE),0)</f>
        <v>-4186.6899999999996</v>
      </c>
      <c r="J168" s="273">
        <f>-_xlfn.IFNA(VLOOKUP(A168,ISB!$A$4:$BY$454,76,FALSE),0)</f>
        <v>-11105.6042</v>
      </c>
      <c r="K168" s="273">
        <f>_xlfn.IFNA(VLOOKUP(A168,ISB!$A$4:$BY$454,77,FALSE),0)</f>
        <v>994498.31746575434</v>
      </c>
      <c r="L168" s="273">
        <f>_xlfn.IFNA(VLOOKUP(A168,'Post 16'!A:AC,13,FALSE),0)+(_xlfn.IFNA(VLOOKUP(A168,'Post 16'!A:AC,25,FALSE),0))</f>
        <v>0</v>
      </c>
      <c r="M168" s="273">
        <f>VLOOKUP(A168,HN!A:P,16,FALSE)</f>
        <v>0</v>
      </c>
      <c r="N168" s="273">
        <f>VLOOKUP(A168,HN!A:T,20,FALSE)</f>
        <v>0</v>
      </c>
      <c r="O168" s="273">
        <f>VLOOKUP(A168,EY!A:O,15,FALSE)</f>
        <v>116632.90000000001</v>
      </c>
      <c r="P168" s="273">
        <f>-VLOOKUP(A168,Adjustments!A:M,11,FALSE)</f>
        <v>-5139.75</v>
      </c>
      <c r="Q168" s="273"/>
      <c r="R168" s="273"/>
      <c r="S168" s="273">
        <f t="shared" si="23"/>
        <v>1105991.4674657544</v>
      </c>
      <c r="T168" s="37"/>
      <c r="U168" s="37">
        <v>88124.172288812857</v>
      </c>
      <c r="V168" s="37">
        <v>88124.172288812857</v>
      </c>
      <c r="W168" s="37">
        <v>88124.172288812857</v>
      </c>
      <c r="X168" s="37">
        <v>93513.22</v>
      </c>
      <c r="Y168" s="37">
        <v>93513.22</v>
      </c>
      <c r="Z168" s="37">
        <f t="shared" si="24"/>
        <v>93513.21632491448</v>
      </c>
      <c r="AA168" s="37">
        <f t="shared" si="25"/>
        <v>93513.22</v>
      </c>
      <c r="AB168" s="37">
        <f t="shared" si="25"/>
        <v>93513.22</v>
      </c>
      <c r="AC168" s="37">
        <f t="shared" si="25"/>
        <v>93513.22</v>
      </c>
      <c r="AD168" s="37">
        <f t="shared" si="25"/>
        <v>93513.22</v>
      </c>
      <c r="AE168" s="37">
        <f t="shared" si="25"/>
        <v>93513.22</v>
      </c>
      <c r="AF168" s="37">
        <f t="shared" si="20"/>
        <v>93513.194274401525</v>
      </c>
      <c r="AG168" s="37">
        <f t="shared" si="21"/>
        <v>1105991.4674657544</v>
      </c>
      <c r="AH168" s="37" t="b">
        <f t="shared" si="22"/>
        <v>1</v>
      </c>
      <c r="AI168" s="37"/>
      <c r="AJ168" s="37"/>
      <c r="AK168" s="37"/>
      <c r="AL168" s="37"/>
      <c r="AM168" s="37"/>
      <c r="AN168" s="37"/>
      <c r="AO168" s="37"/>
      <c r="AP168" s="207"/>
      <c r="AR168" s="37"/>
      <c r="AS168" s="37"/>
      <c r="AT168" s="37"/>
      <c r="AU168" s="37"/>
      <c r="AV168" s="37"/>
      <c r="AW168" s="37"/>
      <c r="AX168" s="37"/>
      <c r="AY168" s="37"/>
      <c r="AZ168" s="37"/>
      <c r="BA168" s="64"/>
    </row>
    <row r="169" spans="1:53">
      <c r="A169" s="231">
        <v>2435</v>
      </c>
      <c r="B169" s="4">
        <v>103362</v>
      </c>
      <c r="C169" s="4" t="s">
        <v>424</v>
      </c>
      <c r="D169" s="4" t="s">
        <v>425</v>
      </c>
      <c r="E169" s="213" t="s">
        <v>5</v>
      </c>
      <c r="F169" s="248" t="s">
        <v>415</v>
      </c>
      <c r="G169" s="37"/>
      <c r="H169" s="272">
        <f>_xlfn.IFNA(VLOOKUP(A169,ISB!$A$4:$BY$454,67,FALSE),0)</f>
        <v>2334946.7604698944</v>
      </c>
      <c r="I169" s="272">
        <f>_xlfn.IFNA(VLOOKUP(A169,ISB!$A$4:$BY$454,72,FALSE),0)</f>
        <v>-9576.74</v>
      </c>
      <c r="J169" s="273">
        <f>-_xlfn.IFNA(VLOOKUP(A169,ISB!$A$4:$BY$454,76,FALSE),0)</f>
        <v>-47699.712</v>
      </c>
      <c r="K169" s="273">
        <f>_xlfn.IFNA(VLOOKUP(A169,ISB!$A$4:$BY$454,77,FALSE),0)</f>
        <v>2277670.3084698943</v>
      </c>
      <c r="L169" s="273">
        <f>_xlfn.IFNA(VLOOKUP(A169,'Post 16'!A:AC,13,FALSE),0)+(_xlfn.IFNA(VLOOKUP(A169,'Post 16'!A:AC,25,FALSE),0))</f>
        <v>0</v>
      </c>
      <c r="M169" s="273">
        <f>VLOOKUP(A169,HN!A:P,16,FALSE)</f>
        <v>0</v>
      </c>
      <c r="N169" s="273">
        <f>VLOOKUP(A169,HN!A:T,20,FALSE)</f>
        <v>0</v>
      </c>
      <c r="O169" s="273">
        <f>VLOOKUP(A169,EY!A:O,15,FALSE)</f>
        <v>68874.900000000009</v>
      </c>
      <c r="P169" s="273">
        <f>-VLOOKUP(A169,Adjustments!A:M,11,FALSE)</f>
        <v>-9471</v>
      </c>
      <c r="Q169" s="273"/>
      <c r="R169" s="273"/>
      <c r="S169" s="273">
        <f t="shared" si="23"/>
        <v>2337074.2084698942</v>
      </c>
      <c r="T169" s="37"/>
      <c r="U169" s="37">
        <v>195289.11528915787</v>
      </c>
      <c r="V169" s="37">
        <v>195289.11528915787</v>
      </c>
      <c r="W169" s="37">
        <v>195289.11528915787</v>
      </c>
      <c r="X169" s="37">
        <v>194578.54</v>
      </c>
      <c r="Y169" s="37">
        <v>194578.54</v>
      </c>
      <c r="Z169" s="37">
        <f t="shared" si="24"/>
        <v>194578.54032530257</v>
      </c>
      <c r="AA169" s="37">
        <f t="shared" si="25"/>
        <v>194578.54</v>
      </c>
      <c r="AB169" s="37">
        <f t="shared" si="25"/>
        <v>194578.54</v>
      </c>
      <c r="AC169" s="37">
        <f t="shared" si="25"/>
        <v>194578.54</v>
      </c>
      <c r="AD169" s="37">
        <f t="shared" si="25"/>
        <v>194578.54</v>
      </c>
      <c r="AE169" s="37">
        <f t="shared" si="25"/>
        <v>194578.54</v>
      </c>
      <c r="AF169" s="37">
        <f t="shared" si="20"/>
        <v>194578.54227711773</v>
      </c>
      <c r="AG169" s="37">
        <f t="shared" si="21"/>
        <v>2337074.2084698942</v>
      </c>
      <c r="AH169" s="37" t="b">
        <f t="shared" si="22"/>
        <v>1</v>
      </c>
      <c r="AI169" s="37"/>
      <c r="AJ169" s="37"/>
      <c r="AK169" s="37"/>
      <c r="AL169" s="37"/>
      <c r="AM169" s="37"/>
      <c r="AN169" s="37"/>
      <c r="AO169" s="37"/>
      <c r="AP169" s="207"/>
      <c r="AR169" s="37"/>
      <c r="AS169" s="37"/>
      <c r="AT169" s="37"/>
      <c r="AU169" s="37"/>
      <c r="AV169" s="37"/>
      <c r="AW169" s="37"/>
      <c r="AX169" s="37"/>
      <c r="AY169" s="37"/>
      <c r="AZ169" s="37"/>
      <c r="BA169" s="64"/>
    </row>
    <row r="170" spans="1:53">
      <c r="A170" s="231">
        <v>1001</v>
      </c>
      <c r="B170" s="4">
        <v>103120</v>
      </c>
      <c r="C170" s="4" t="s">
        <v>427</v>
      </c>
      <c r="D170" s="4" t="s">
        <v>428</v>
      </c>
      <c r="E170" s="213" t="s">
        <v>180</v>
      </c>
      <c r="F170" s="248" t="s">
        <v>415</v>
      </c>
      <c r="G170" s="37"/>
      <c r="H170" s="272">
        <f>_xlfn.IFNA(VLOOKUP(A170,ISB!$A$4:$BY$454,67,FALSE),0)</f>
        <v>0</v>
      </c>
      <c r="I170" s="272">
        <f>_xlfn.IFNA(VLOOKUP(A170,ISB!$A$4:$BY$454,72,FALSE),0)</f>
        <v>0</v>
      </c>
      <c r="J170" s="273">
        <f>-_xlfn.IFNA(VLOOKUP(A170,ISB!$A$4:$BY$454,76,FALSE),0)</f>
        <v>0</v>
      </c>
      <c r="K170" s="273">
        <f>_xlfn.IFNA(VLOOKUP(A170,ISB!$A$4:$BY$454,77,FALSE),0)</f>
        <v>0</v>
      </c>
      <c r="L170" s="273">
        <f>_xlfn.IFNA(VLOOKUP(A170,'Post 16'!A:AC,13,FALSE),0)+(_xlfn.IFNA(VLOOKUP(A170,'Post 16'!A:AC,25,FALSE),0))</f>
        <v>0</v>
      </c>
      <c r="M170" s="273">
        <f>VLOOKUP(A170,HN!A:P,16,FALSE)</f>
        <v>0</v>
      </c>
      <c r="N170" s="273">
        <f>VLOOKUP(A170,HN!A:T,20,FALSE)</f>
        <v>0</v>
      </c>
      <c r="O170" s="273">
        <f>VLOOKUP(A170,EY!A:O,15,FALSE)</f>
        <v>525189.66333333333</v>
      </c>
      <c r="P170" s="273">
        <f>-VLOOKUP(A170,Adjustments!A:M,11,FALSE)</f>
        <v>-3291.75</v>
      </c>
      <c r="Q170" s="273"/>
      <c r="R170" s="273"/>
      <c r="S170" s="273">
        <f t="shared" si="23"/>
        <v>521897.91333333333</v>
      </c>
      <c r="T170" s="37"/>
      <c r="U170" s="37">
        <v>38221.521211117004</v>
      </c>
      <c r="V170" s="37">
        <v>38221.521211117004</v>
      </c>
      <c r="W170" s="37">
        <v>38221.521211117004</v>
      </c>
      <c r="X170" s="37">
        <v>45248.15</v>
      </c>
      <c r="Y170" s="37">
        <v>45248.15</v>
      </c>
      <c r="Z170" s="37">
        <f t="shared" si="24"/>
        <v>45248.149962497788</v>
      </c>
      <c r="AA170" s="37">
        <f t="shared" si="25"/>
        <v>45248.15</v>
      </c>
      <c r="AB170" s="37">
        <f t="shared" si="25"/>
        <v>45248.15</v>
      </c>
      <c r="AC170" s="37">
        <f t="shared" si="25"/>
        <v>45248.15</v>
      </c>
      <c r="AD170" s="37">
        <f t="shared" si="25"/>
        <v>45248.15</v>
      </c>
      <c r="AE170" s="37">
        <f t="shared" si="25"/>
        <v>45248.15</v>
      </c>
      <c r="AF170" s="37">
        <f t="shared" si="20"/>
        <v>45248.149737484462</v>
      </c>
      <c r="AG170" s="37">
        <f t="shared" si="21"/>
        <v>521897.91333333333</v>
      </c>
      <c r="AH170" s="37" t="b">
        <f t="shared" si="22"/>
        <v>1</v>
      </c>
      <c r="AI170" s="37"/>
      <c r="AJ170" s="37"/>
      <c r="AK170" s="37"/>
      <c r="AL170" s="37"/>
      <c r="AM170" s="37"/>
      <c r="AN170" s="37"/>
      <c r="AO170" s="37"/>
      <c r="AP170" s="207"/>
      <c r="AR170" s="37"/>
      <c r="AS170" s="37"/>
      <c r="AT170" s="37"/>
      <c r="AU170" s="37"/>
      <c r="AV170" s="37"/>
      <c r="AW170" s="37"/>
      <c r="AX170" s="37"/>
      <c r="AY170" s="37"/>
      <c r="AZ170" s="37"/>
      <c r="BA170" s="64"/>
    </row>
    <row r="171" spans="1:53">
      <c r="A171" s="231">
        <v>7030</v>
      </c>
      <c r="B171" s="4">
        <v>103611</v>
      </c>
      <c r="C171" s="4" t="s">
        <v>430</v>
      </c>
      <c r="D171" s="4" t="s">
        <v>431</v>
      </c>
      <c r="E171" s="213" t="s">
        <v>1093</v>
      </c>
      <c r="F171" s="248" t="s">
        <v>415</v>
      </c>
      <c r="G171" s="37"/>
      <c r="H171" s="272">
        <f>_xlfn.IFNA(VLOOKUP(A171,ISB!$A$4:$BY$454,67,FALSE),0)</f>
        <v>0</v>
      </c>
      <c r="I171" s="272">
        <f>_xlfn.IFNA(VLOOKUP(A171,ISB!$A$4:$BY$454,72,FALSE),0)</f>
        <v>0</v>
      </c>
      <c r="J171" s="273">
        <f>-_xlfn.IFNA(VLOOKUP(A171,ISB!$A$4:$BY$454,76,FALSE),0)</f>
        <v>0</v>
      </c>
      <c r="K171" s="273">
        <f>_xlfn.IFNA(VLOOKUP(A171,ISB!$A$4:$BY$454,77,FALSE),0)</f>
        <v>0</v>
      </c>
      <c r="L171" s="273">
        <f>_xlfn.IFNA(VLOOKUP(A171,'Post 16'!A:AC,13,FALSE),0)+(_xlfn.IFNA(VLOOKUP(A171,'Post 16'!A:AC,25,FALSE),0))</f>
        <v>0</v>
      </c>
      <c r="M171" s="273">
        <f>VLOOKUP(A171,HN!A:P,16,FALSE)</f>
        <v>1564180.4135920482</v>
      </c>
      <c r="N171" s="273">
        <f>VLOOKUP(A171,HN!A:T,20,FALSE)</f>
        <v>0</v>
      </c>
      <c r="O171" s="273">
        <f>VLOOKUP(A171,EY!A:O,15,FALSE)</f>
        <v>0</v>
      </c>
      <c r="P171" s="273">
        <f>-VLOOKUP(A171,Adjustments!A:M,11,FALSE)</f>
        <v>-3291.75</v>
      </c>
      <c r="Q171" s="273"/>
      <c r="R171" s="273"/>
      <c r="S171" s="273">
        <f t="shared" si="23"/>
        <v>1560888.6635920482</v>
      </c>
      <c r="T171" s="37"/>
      <c r="U171" s="37">
        <v>130074.05529933736</v>
      </c>
      <c r="V171" s="37">
        <v>130074.05529933736</v>
      </c>
      <c r="W171" s="37">
        <v>130074.05529933736</v>
      </c>
      <c r="X171" s="37">
        <v>130074.06</v>
      </c>
      <c r="Y171" s="37">
        <v>130074.05</v>
      </c>
      <c r="Z171" s="37">
        <f t="shared" si="24"/>
        <v>130074.05471175452</v>
      </c>
      <c r="AA171" s="37">
        <f t="shared" si="25"/>
        <v>130074.06</v>
      </c>
      <c r="AB171" s="37">
        <f t="shared" si="25"/>
        <v>130074.06</v>
      </c>
      <c r="AC171" s="37">
        <f t="shared" si="25"/>
        <v>130074.06</v>
      </c>
      <c r="AD171" s="37">
        <f t="shared" si="25"/>
        <v>130074.06</v>
      </c>
      <c r="AE171" s="37">
        <f t="shared" si="25"/>
        <v>130074.06</v>
      </c>
      <c r="AF171" s="37">
        <f t="shared" si="20"/>
        <v>130074.03298228141</v>
      </c>
      <c r="AG171" s="37">
        <f t="shared" si="21"/>
        <v>1560888.6635920482</v>
      </c>
      <c r="AH171" s="37" t="b">
        <f t="shared" si="22"/>
        <v>1</v>
      </c>
      <c r="AI171" s="37"/>
      <c r="AJ171" s="37"/>
      <c r="AK171" s="37"/>
      <c r="AL171" s="37"/>
      <c r="AM171" s="37"/>
      <c r="AN171" s="37"/>
      <c r="AO171" s="37"/>
      <c r="AP171" s="207"/>
      <c r="AR171" s="37"/>
      <c r="AS171" s="37"/>
      <c r="AT171" s="37"/>
      <c r="AU171" s="37"/>
      <c r="AV171" s="37"/>
      <c r="AW171" s="37"/>
      <c r="AX171" s="37"/>
      <c r="AY171" s="37"/>
      <c r="AZ171" s="37"/>
      <c r="BA171" s="64"/>
    </row>
    <row r="172" spans="1:53">
      <c r="A172" s="231">
        <v>2465</v>
      </c>
      <c r="B172" s="4">
        <v>103391</v>
      </c>
      <c r="C172" s="4" t="s">
        <v>433</v>
      </c>
      <c r="D172" s="4" t="s">
        <v>434</v>
      </c>
      <c r="E172" s="213" t="s">
        <v>5</v>
      </c>
      <c r="F172" s="248" t="s">
        <v>415</v>
      </c>
      <c r="G172" s="37"/>
      <c r="H172" s="272">
        <f>_xlfn.IFNA(VLOOKUP(A172,ISB!$A$4:$BY$454,67,FALSE),0)</f>
        <v>2549901.2151818629</v>
      </c>
      <c r="I172" s="272">
        <f>_xlfn.IFNA(VLOOKUP(A172,ISB!$A$4:$BY$454,72,FALSE),0)</f>
        <v>-10554.47</v>
      </c>
      <c r="J172" s="273">
        <f>-_xlfn.IFNA(VLOOKUP(A172,ISB!$A$4:$BY$454,76,FALSE),0)</f>
        <v>-46033.171999999999</v>
      </c>
      <c r="K172" s="273">
        <f>_xlfn.IFNA(VLOOKUP(A172,ISB!$A$4:$BY$454,77,FALSE),0)</f>
        <v>2493313.5731818629</v>
      </c>
      <c r="L172" s="273">
        <f>_xlfn.IFNA(VLOOKUP(A172,'Post 16'!A:AC,13,FALSE),0)+(_xlfn.IFNA(VLOOKUP(A172,'Post 16'!A:AC,25,FALSE),0))</f>
        <v>0</v>
      </c>
      <c r="M172" s="273">
        <f>VLOOKUP(A172,HN!A:P,16,FALSE)</f>
        <v>0</v>
      </c>
      <c r="N172" s="273">
        <f>VLOOKUP(A172,HN!A:T,20,FALSE)</f>
        <v>0</v>
      </c>
      <c r="O172" s="273">
        <f>VLOOKUP(A172,EY!A:O,15,FALSE)</f>
        <v>124716.90000000001</v>
      </c>
      <c r="P172" s="273">
        <f>-VLOOKUP(A172,Adjustments!A:M,11,FALSE)</f>
        <v>-9471</v>
      </c>
      <c r="Q172" s="273"/>
      <c r="R172" s="273"/>
      <c r="S172" s="273">
        <f t="shared" si="23"/>
        <v>2608559.4731818628</v>
      </c>
      <c r="T172" s="37"/>
      <c r="U172" s="37">
        <v>215817.08109848856</v>
      </c>
      <c r="V172" s="37">
        <v>215817.08109848856</v>
      </c>
      <c r="W172" s="37">
        <v>215817.08109848856</v>
      </c>
      <c r="X172" s="37">
        <v>217900.91</v>
      </c>
      <c r="Y172" s="37">
        <v>217900.91</v>
      </c>
      <c r="Z172" s="37">
        <f t="shared" si="24"/>
        <v>217900.91498579964</v>
      </c>
      <c r="AA172" s="37">
        <f t="shared" si="25"/>
        <v>217900.92</v>
      </c>
      <c r="AB172" s="37">
        <f t="shared" si="25"/>
        <v>217900.92</v>
      </c>
      <c r="AC172" s="37">
        <f t="shared" si="25"/>
        <v>217900.92</v>
      </c>
      <c r="AD172" s="37">
        <f t="shared" si="25"/>
        <v>217900.92</v>
      </c>
      <c r="AE172" s="37">
        <f t="shared" si="25"/>
        <v>217900.92</v>
      </c>
      <c r="AF172" s="37">
        <f t="shared" si="20"/>
        <v>217900.89490059763</v>
      </c>
      <c r="AG172" s="37">
        <f t="shared" si="21"/>
        <v>2608559.4731818628</v>
      </c>
      <c r="AH172" s="37" t="b">
        <f t="shared" si="22"/>
        <v>1</v>
      </c>
      <c r="AI172" s="37"/>
      <c r="AJ172" s="37"/>
      <c r="AK172" s="37"/>
      <c r="AL172" s="37"/>
      <c r="AM172" s="37"/>
      <c r="AN172" s="37"/>
      <c r="AO172" s="37"/>
      <c r="AP172" s="207"/>
      <c r="AR172" s="37"/>
      <c r="AS172" s="37"/>
      <c r="AT172" s="37"/>
      <c r="AU172" s="37"/>
      <c r="AV172" s="37"/>
      <c r="AW172" s="37"/>
      <c r="AX172" s="37"/>
      <c r="AY172" s="37"/>
      <c r="AZ172" s="37"/>
      <c r="BA172" s="64"/>
    </row>
    <row r="173" spans="1:53">
      <c r="A173" s="231">
        <v>2040</v>
      </c>
      <c r="B173" s="4">
        <v>103178</v>
      </c>
      <c r="C173" s="4" t="s">
        <v>436</v>
      </c>
      <c r="D173" s="4" t="s">
        <v>437</v>
      </c>
      <c r="E173" s="213" t="s">
        <v>5</v>
      </c>
      <c r="F173" s="248" t="s">
        <v>415</v>
      </c>
      <c r="G173" s="37"/>
      <c r="H173" s="272">
        <f>_xlfn.IFNA(VLOOKUP(A173,ISB!$A$4:$BY$454,67,FALSE),0)</f>
        <v>2155761.8747301931</v>
      </c>
      <c r="I173" s="272">
        <f>_xlfn.IFNA(VLOOKUP(A173,ISB!$A$4:$BY$454,72,FALSE),0)</f>
        <v>-10805.17</v>
      </c>
      <c r="J173" s="273">
        <f>-_xlfn.IFNA(VLOOKUP(A173,ISB!$A$4:$BY$454,76,FALSE),0)</f>
        <v>-30474.815999999999</v>
      </c>
      <c r="K173" s="273">
        <f>_xlfn.IFNA(VLOOKUP(A173,ISB!$A$4:$BY$454,77,FALSE),0)</f>
        <v>2114481.888730193</v>
      </c>
      <c r="L173" s="273">
        <f>_xlfn.IFNA(VLOOKUP(A173,'Post 16'!A:AC,13,FALSE),0)+(_xlfn.IFNA(VLOOKUP(A173,'Post 16'!A:AC,25,FALSE),0))</f>
        <v>0</v>
      </c>
      <c r="M173" s="273">
        <f>VLOOKUP(A173,HN!A:P,16,FALSE)</f>
        <v>0</v>
      </c>
      <c r="N173" s="273">
        <f>VLOOKUP(A173,HN!A:T,20,FALSE)</f>
        <v>231734.61538461538</v>
      </c>
      <c r="O173" s="273">
        <f>VLOOKUP(A173,EY!A:O,15,FALSE)</f>
        <v>84030</v>
      </c>
      <c r="P173" s="273">
        <f>-VLOOKUP(A173,Adjustments!A:M,11,FALSE)</f>
        <v>-9471</v>
      </c>
      <c r="Q173" s="273"/>
      <c r="R173" s="273"/>
      <c r="S173" s="273">
        <f t="shared" si="23"/>
        <v>2420775.5041148085</v>
      </c>
      <c r="T173" s="37"/>
      <c r="U173" s="37">
        <v>182029.08628307164</v>
      </c>
      <c r="V173" s="37">
        <v>182029.08628307164</v>
      </c>
      <c r="W173" s="37">
        <v>182029.08628307164</v>
      </c>
      <c r="X173" s="37">
        <v>259795.27179487178</v>
      </c>
      <c r="Y173" s="37">
        <v>201861.62</v>
      </c>
      <c r="Z173" s="37">
        <f t="shared" si="24"/>
        <v>201861.62168384023</v>
      </c>
      <c r="AA173" s="37">
        <f t="shared" si="25"/>
        <v>201861.62</v>
      </c>
      <c r="AB173" s="37">
        <f t="shared" si="25"/>
        <v>201861.62</v>
      </c>
      <c r="AC173" s="37">
        <f t="shared" si="25"/>
        <v>201861.62</v>
      </c>
      <c r="AD173" s="37">
        <f t="shared" si="25"/>
        <v>201861.62</v>
      </c>
      <c r="AE173" s="37">
        <f t="shared" si="25"/>
        <v>201861.62</v>
      </c>
      <c r="AF173" s="37">
        <f t="shared" si="20"/>
        <v>201861.63178688101</v>
      </c>
      <c r="AG173" s="37">
        <f t="shared" si="21"/>
        <v>2420775.5041148085</v>
      </c>
      <c r="AH173" s="37" t="b">
        <f t="shared" si="22"/>
        <v>1</v>
      </c>
      <c r="AI173" s="37"/>
      <c r="AJ173" s="37"/>
      <c r="AK173" s="37"/>
      <c r="AL173" s="37"/>
      <c r="AM173" s="37"/>
      <c r="AN173" s="37"/>
      <c r="AO173" s="37"/>
      <c r="AP173" s="207"/>
      <c r="AR173" s="37"/>
      <c r="AS173" s="37"/>
      <c r="AT173" s="37"/>
      <c r="AU173" s="37"/>
      <c r="AV173" s="37"/>
      <c r="AW173" s="37"/>
      <c r="AX173" s="37"/>
      <c r="AY173" s="37"/>
      <c r="AZ173" s="37"/>
      <c r="BA173" s="64"/>
    </row>
    <row r="174" spans="1:53">
      <c r="A174" s="231">
        <v>1100</v>
      </c>
      <c r="B174" s="4">
        <v>103146</v>
      </c>
      <c r="C174" s="4" t="s">
        <v>439</v>
      </c>
      <c r="D174" s="4" t="s">
        <v>440</v>
      </c>
      <c r="E174" s="213" t="s">
        <v>1094</v>
      </c>
      <c r="F174" s="248" t="s">
        <v>415</v>
      </c>
      <c r="G174" s="37"/>
      <c r="H174" s="272">
        <f>_xlfn.IFNA(VLOOKUP(A174,ISB!$A$4:$BY$454,67,FALSE),0)</f>
        <v>0</v>
      </c>
      <c r="I174" s="272">
        <f>_xlfn.IFNA(VLOOKUP(A174,ISB!$A$4:$BY$454,72,FALSE),0)</f>
        <v>0</v>
      </c>
      <c r="J174" s="273">
        <f>-_xlfn.IFNA(VLOOKUP(A174,ISB!$A$4:$BY$454,76,FALSE),0)</f>
        <v>0</v>
      </c>
      <c r="K174" s="273">
        <f>_xlfn.IFNA(VLOOKUP(A174,ISB!$A$4:$BY$454,77,FALSE),0)</f>
        <v>0</v>
      </c>
      <c r="L174" s="273">
        <f>_xlfn.IFNA(VLOOKUP(A174,'Post 16'!A:AC,13,FALSE),0)+(_xlfn.IFNA(VLOOKUP(A174,'Post 16'!A:AC,25,FALSE),0))</f>
        <v>0</v>
      </c>
      <c r="M174" s="273">
        <f>VLOOKUP(A174,HN!A:P,16,FALSE)</f>
        <v>12320184</v>
      </c>
      <c r="N174" s="273">
        <f>VLOOKUP(A174,HN!A:T,20,FALSE)</f>
        <v>0</v>
      </c>
      <c r="O174" s="273">
        <f>VLOOKUP(A174,EY!A:O,15,FALSE)</f>
        <v>0</v>
      </c>
      <c r="P174" s="273">
        <f>-VLOOKUP(A174,Adjustments!A:M,11,FALSE)</f>
        <v>-12566.4</v>
      </c>
      <c r="Q174" s="273"/>
      <c r="R174" s="273"/>
      <c r="S174" s="273">
        <f t="shared" si="23"/>
        <v>12307617.6</v>
      </c>
      <c r="T174" s="37"/>
      <c r="U174" s="37">
        <v>-1047.2</v>
      </c>
      <c r="V174" s="37">
        <v>-1047.2</v>
      </c>
      <c r="W174" s="37">
        <v>-1047.2</v>
      </c>
      <c r="X174" s="37">
        <v>-1047.2</v>
      </c>
      <c r="Y174" s="37">
        <v>1538975.8</v>
      </c>
      <c r="Z174" s="37">
        <f t="shared" si="24"/>
        <v>1538975.8</v>
      </c>
      <c r="AA174" s="37">
        <f t="shared" si="25"/>
        <v>1538975.8</v>
      </c>
      <c r="AB174" s="37">
        <f t="shared" si="25"/>
        <v>1538975.8</v>
      </c>
      <c r="AC174" s="37">
        <f t="shared" si="25"/>
        <v>1538975.8</v>
      </c>
      <c r="AD174" s="37">
        <f t="shared" si="25"/>
        <v>1538975.8</v>
      </c>
      <c r="AE174" s="37">
        <f t="shared" si="25"/>
        <v>1538975.8</v>
      </c>
      <c r="AF174" s="37">
        <f t="shared" si="20"/>
        <v>1538975.7999999989</v>
      </c>
      <c r="AG174" s="37">
        <f t="shared" si="21"/>
        <v>12307617.6</v>
      </c>
      <c r="AH174" s="37" t="b">
        <f t="shared" si="22"/>
        <v>1</v>
      </c>
      <c r="AI174" s="37"/>
      <c r="AJ174" s="37"/>
      <c r="AK174" s="37"/>
      <c r="AL174" s="37"/>
      <c r="AM174" s="37"/>
      <c r="AN174" s="37"/>
      <c r="AO174" s="37"/>
      <c r="AP174" s="207"/>
      <c r="AR174" s="37"/>
      <c r="AS174" s="37"/>
      <c r="AT174" s="37"/>
      <c r="AU174" s="37"/>
      <c r="AV174" s="37"/>
      <c r="AW174" s="37"/>
      <c r="AX174" s="37"/>
      <c r="AY174" s="37"/>
      <c r="AZ174" s="37"/>
      <c r="BA174" s="64"/>
    </row>
    <row r="175" spans="1:53">
      <c r="A175" s="231">
        <v>3432</v>
      </c>
      <c r="B175" s="4">
        <v>134840</v>
      </c>
      <c r="C175" s="4" t="s">
        <v>442</v>
      </c>
      <c r="D175" s="4" t="s">
        <v>443</v>
      </c>
      <c r="E175" s="213" t="s">
        <v>5</v>
      </c>
      <c r="F175" s="248" t="s">
        <v>415</v>
      </c>
      <c r="G175" s="37"/>
      <c r="H175" s="272">
        <f>_xlfn.IFNA(VLOOKUP(A175,ISB!$A$4:$BY$454,67,FALSE),0)</f>
        <v>5109148.8470742088</v>
      </c>
      <c r="I175" s="272">
        <f>_xlfn.IFNA(VLOOKUP(A175,ISB!$A$4:$BY$454,72,FALSE),0)</f>
        <v>-19755.16</v>
      </c>
      <c r="J175" s="273">
        <f>-_xlfn.IFNA(VLOOKUP(A175,ISB!$A$4:$BY$454,76,FALSE),0)</f>
        <v>-32329.804800000002</v>
      </c>
      <c r="K175" s="273">
        <f>_xlfn.IFNA(VLOOKUP(A175,ISB!$A$4:$BY$454,77,FALSE),0)</f>
        <v>5057063.8822742086</v>
      </c>
      <c r="L175" s="273">
        <f>_xlfn.IFNA(VLOOKUP(A175,'Post 16'!A:AC,13,FALSE),0)+(_xlfn.IFNA(VLOOKUP(A175,'Post 16'!A:AC,25,FALSE),0))</f>
        <v>0</v>
      </c>
      <c r="M175" s="273">
        <f>VLOOKUP(A175,HN!A:P,16,FALSE)</f>
        <v>0</v>
      </c>
      <c r="N175" s="273">
        <f>VLOOKUP(A175,HN!A:T,20,FALSE)</f>
        <v>0</v>
      </c>
      <c r="O175" s="273">
        <f>VLOOKUP(A175,EY!A:O,15,FALSE)</f>
        <v>275204.30000000005</v>
      </c>
      <c r="P175" s="273">
        <f>-VLOOKUP(A175,Adjustments!A:M,11,FALSE)</f>
        <v>-20612.5</v>
      </c>
      <c r="Q175" s="273"/>
      <c r="R175" s="273"/>
      <c r="S175" s="273">
        <f t="shared" si="23"/>
        <v>5311655.6822742084</v>
      </c>
      <c r="T175" s="37"/>
      <c r="U175" s="37">
        <v>438265.19244176964</v>
      </c>
      <c r="V175" s="37">
        <v>438265.19244176964</v>
      </c>
      <c r="W175" s="37">
        <v>438265.19244176964</v>
      </c>
      <c r="X175" s="37">
        <v>443684.43</v>
      </c>
      <c r="Y175" s="37">
        <v>443684.43</v>
      </c>
      <c r="Z175" s="37">
        <f t="shared" si="24"/>
        <v>444146.95936861244</v>
      </c>
      <c r="AA175" s="37">
        <f t="shared" si="25"/>
        <v>444213.03</v>
      </c>
      <c r="AB175" s="37">
        <f t="shared" si="25"/>
        <v>444213.03</v>
      </c>
      <c r="AC175" s="37">
        <f t="shared" si="25"/>
        <v>444213.03</v>
      </c>
      <c r="AD175" s="37">
        <f t="shared" si="25"/>
        <v>444213.03</v>
      </c>
      <c r="AE175" s="37">
        <f t="shared" si="25"/>
        <v>444213.03</v>
      </c>
      <c r="AF175" s="37">
        <f t="shared" si="20"/>
        <v>444279.13558028545</v>
      </c>
      <c r="AG175" s="37">
        <f t="shared" si="21"/>
        <v>5311655.6822742084</v>
      </c>
      <c r="AH175" s="37" t="b">
        <f t="shared" si="22"/>
        <v>1</v>
      </c>
      <c r="AI175" s="37"/>
      <c r="AJ175" s="37"/>
      <c r="AK175" s="37"/>
      <c r="AL175" s="37"/>
      <c r="AM175" s="37"/>
      <c r="AN175" s="37"/>
      <c r="AO175" s="37"/>
      <c r="AP175" s="207"/>
      <c r="AR175" s="37"/>
      <c r="AS175" s="37"/>
      <c r="AT175" s="37"/>
      <c r="AU175" s="37"/>
      <c r="AV175" s="37"/>
      <c r="AW175" s="37"/>
      <c r="AX175" s="37"/>
      <c r="AY175" s="37"/>
      <c r="AZ175" s="37"/>
      <c r="BA175" s="64"/>
    </row>
    <row r="176" spans="1:53">
      <c r="A176" s="231">
        <v>2185</v>
      </c>
      <c r="B176" s="4">
        <v>103263</v>
      </c>
      <c r="C176" s="4" t="s">
        <v>445</v>
      </c>
      <c r="D176" s="4" t="s">
        <v>446</v>
      </c>
      <c r="E176" s="213" t="s">
        <v>5</v>
      </c>
      <c r="F176" s="248" t="s">
        <v>415</v>
      </c>
      <c r="G176" s="37"/>
      <c r="H176" s="272">
        <f>_xlfn.IFNA(VLOOKUP(A176,ISB!$A$4:$BY$454,67,FALSE),0)</f>
        <v>2184975.3572098911</v>
      </c>
      <c r="I176" s="272">
        <f>_xlfn.IFNA(VLOOKUP(A176,ISB!$A$4:$BY$454,72,FALSE),0)</f>
        <v>-10529.4</v>
      </c>
      <c r="J176" s="273">
        <f>-_xlfn.IFNA(VLOOKUP(A176,ISB!$A$4:$BY$454,76,FALSE),0)</f>
        <v>-23760.8331</v>
      </c>
      <c r="K176" s="273">
        <f>_xlfn.IFNA(VLOOKUP(A176,ISB!$A$4:$BY$454,77,FALSE),0)</f>
        <v>2150685.1241098912</v>
      </c>
      <c r="L176" s="273">
        <f>_xlfn.IFNA(VLOOKUP(A176,'Post 16'!A:AC,13,FALSE),0)+(_xlfn.IFNA(VLOOKUP(A176,'Post 16'!A:AC,25,FALSE),0))</f>
        <v>0</v>
      </c>
      <c r="M176" s="273">
        <f>VLOOKUP(A176,HN!A:P,16,FALSE)</f>
        <v>0</v>
      </c>
      <c r="N176" s="273">
        <f>VLOOKUP(A176,HN!A:T,20,FALSE)</f>
        <v>0</v>
      </c>
      <c r="O176" s="273">
        <f>VLOOKUP(A176,EY!A:O,15,FALSE)</f>
        <v>159854.59999999998</v>
      </c>
      <c r="P176" s="273">
        <f>-VLOOKUP(A176,Adjustments!A:M,11,FALSE)</f>
        <v>-9471</v>
      </c>
      <c r="Q176" s="273"/>
      <c r="R176" s="273"/>
      <c r="S176" s="273">
        <f t="shared" si="23"/>
        <v>2301068.7241098913</v>
      </c>
      <c r="T176" s="37"/>
      <c r="U176" s="37">
        <v>190015.48534249095</v>
      </c>
      <c r="V176" s="37">
        <v>190015.48534249095</v>
      </c>
      <c r="W176" s="37">
        <v>190015.48534249095</v>
      </c>
      <c r="X176" s="37">
        <v>192335.81</v>
      </c>
      <c r="Y176" s="37">
        <v>192335.81</v>
      </c>
      <c r="Z176" s="37">
        <f t="shared" ref="Z176:Z211" si="26">($S176-SUM($U176:$X176))/8</f>
        <v>192335.8072603023</v>
      </c>
      <c r="AA176" s="37">
        <f t="shared" si="25"/>
        <v>192335.81</v>
      </c>
      <c r="AB176" s="37">
        <f t="shared" si="25"/>
        <v>192335.81</v>
      </c>
      <c r="AC176" s="37">
        <f t="shared" si="25"/>
        <v>192335.81</v>
      </c>
      <c r="AD176" s="37">
        <f t="shared" si="25"/>
        <v>192335.81</v>
      </c>
      <c r="AE176" s="37">
        <f t="shared" si="25"/>
        <v>192335.81</v>
      </c>
      <c r="AF176" s="37">
        <f t="shared" si="20"/>
        <v>192335.79082211573</v>
      </c>
      <c r="AG176" s="37">
        <f t="shared" si="21"/>
        <v>2301068.7241098913</v>
      </c>
      <c r="AH176" s="37" t="b">
        <f t="shared" si="22"/>
        <v>1</v>
      </c>
      <c r="AI176" s="37"/>
      <c r="AJ176" s="37"/>
      <c r="AK176" s="37"/>
      <c r="AL176" s="37"/>
      <c r="AM176" s="37"/>
      <c r="AN176" s="37"/>
      <c r="AO176" s="37"/>
      <c r="AP176" s="207"/>
      <c r="AR176" s="37"/>
      <c r="AS176" s="37"/>
      <c r="AT176" s="37"/>
      <c r="AU176" s="37"/>
      <c r="AV176" s="37"/>
      <c r="AW176" s="37"/>
      <c r="AX176" s="37"/>
      <c r="AY176" s="37"/>
      <c r="AZ176" s="37"/>
      <c r="BA176" s="64"/>
    </row>
    <row r="177" spans="1:53">
      <c r="A177" s="231">
        <v>2464</v>
      </c>
      <c r="B177" s="4">
        <v>103390</v>
      </c>
      <c r="C177" s="4" t="s">
        <v>448</v>
      </c>
      <c r="D177" s="4" t="s">
        <v>449</v>
      </c>
      <c r="E177" s="213" t="s">
        <v>5</v>
      </c>
      <c r="F177" s="248" t="s">
        <v>415</v>
      </c>
      <c r="G177" s="37"/>
      <c r="H177" s="272">
        <f>_xlfn.IFNA(VLOOKUP(A177,ISB!$A$4:$BY$454,67,FALSE),0)</f>
        <v>1954434.8063999999</v>
      </c>
      <c r="I177" s="272">
        <f>_xlfn.IFNA(VLOOKUP(A177,ISB!$A$4:$BY$454,72,FALSE),0)</f>
        <v>-10454.19</v>
      </c>
      <c r="J177" s="273">
        <f>-_xlfn.IFNA(VLOOKUP(A177,ISB!$A$4:$BY$454,76,FALSE),0)</f>
        <v>-32064.806400000001</v>
      </c>
      <c r="K177" s="273">
        <f>_xlfn.IFNA(VLOOKUP(A177,ISB!$A$4:$BY$454,77,FALSE),0)</f>
        <v>1911915.81</v>
      </c>
      <c r="L177" s="273">
        <f>_xlfn.IFNA(VLOOKUP(A177,'Post 16'!A:AC,13,FALSE),0)+(_xlfn.IFNA(VLOOKUP(A177,'Post 16'!A:AC,25,FALSE),0))</f>
        <v>0</v>
      </c>
      <c r="M177" s="273">
        <f>VLOOKUP(A177,HN!A:P,16,FALSE)</f>
        <v>0</v>
      </c>
      <c r="N177" s="273">
        <f>VLOOKUP(A177,HN!A:T,20,FALSE)</f>
        <v>0</v>
      </c>
      <c r="O177" s="273">
        <f>VLOOKUP(A177,EY!A:O,15,FALSE)</f>
        <v>0</v>
      </c>
      <c r="P177" s="273">
        <f>-VLOOKUP(A177,Adjustments!A:M,11,FALSE)</f>
        <v>-9471</v>
      </c>
      <c r="Q177" s="273"/>
      <c r="R177" s="273"/>
      <c r="S177" s="273">
        <f t="shared" si="23"/>
        <v>1902444.81</v>
      </c>
      <c r="T177" s="37"/>
      <c r="U177" s="37">
        <v>158537.0675</v>
      </c>
      <c r="V177" s="37">
        <v>158537.0675</v>
      </c>
      <c r="W177" s="37">
        <v>158537.0675</v>
      </c>
      <c r="X177" s="37">
        <v>158537.07</v>
      </c>
      <c r="Y177" s="37">
        <v>158537.07</v>
      </c>
      <c r="Z177" s="37">
        <f t="shared" si="26"/>
        <v>158537.06718750001</v>
      </c>
      <c r="AA177" s="37">
        <f t="shared" si="25"/>
        <v>158537.07</v>
      </c>
      <c r="AB177" s="37">
        <f t="shared" si="25"/>
        <v>158537.07</v>
      </c>
      <c r="AC177" s="37">
        <f t="shared" si="25"/>
        <v>158537.07</v>
      </c>
      <c r="AD177" s="37">
        <f t="shared" si="25"/>
        <v>158537.07</v>
      </c>
      <c r="AE177" s="37">
        <f t="shared" si="25"/>
        <v>158537.07</v>
      </c>
      <c r="AF177" s="37">
        <f t="shared" si="20"/>
        <v>158537.05031249975</v>
      </c>
      <c r="AG177" s="37">
        <f t="shared" si="21"/>
        <v>1902444.81</v>
      </c>
      <c r="AH177" s="37" t="b">
        <f t="shared" si="22"/>
        <v>1</v>
      </c>
      <c r="AI177" s="37"/>
      <c r="AJ177" s="37"/>
      <c r="AK177" s="37"/>
      <c r="AL177" s="37"/>
      <c r="AM177" s="37"/>
      <c r="AN177" s="37"/>
      <c r="AO177" s="37"/>
      <c r="AP177" s="207"/>
      <c r="AR177" s="37"/>
      <c r="AS177" s="37"/>
      <c r="AT177" s="37"/>
      <c r="AU177" s="37"/>
      <c r="AV177" s="37"/>
      <c r="AW177" s="37"/>
      <c r="AX177" s="37"/>
      <c r="AY177" s="37"/>
      <c r="AZ177" s="37"/>
      <c r="BA177" s="64"/>
    </row>
    <row r="178" spans="1:53">
      <c r="A178" s="231">
        <v>2454</v>
      </c>
      <c r="B178" s="4">
        <v>103381</v>
      </c>
      <c r="C178" s="4" t="s">
        <v>454</v>
      </c>
      <c r="D178" s="4" t="s">
        <v>455</v>
      </c>
      <c r="E178" s="213" t="s">
        <v>5</v>
      </c>
      <c r="F178" s="248" t="s">
        <v>415</v>
      </c>
      <c r="G178" s="37"/>
      <c r="H178" s="272">
        <f>_xlfn.IFNA(VLOOKUP(A178,ISB!$A$4:$BY$454,67,FALSE),0)</f>
        <v>2185325.0188343497</v>
      </c>
      <c r="I178" s="272">
        <f>_xlfn.IFNA(VLOOKUP(A178,ISB!$A$4:$BY$454,72,FALSE),0)</f>
        <v>-9175.6200000000008</v>
      </c>
      <c r="J178" s="273">
        <f>-_xlfn.IFNA(VLOOKUP(A178,ISB!$A$4:$BY$454,76,FALSE),0)</f>
        <v>-30475.856299999999</v>
      </c>
      <c r="K178" s="273">
        <f>_xlfn.IFNA(VLOOKUP(A178,ISB!$A$4:$BY$454,77,FALSE),0)</f>
        <v>2145673.5425343495</v>
      </c>
      <c r="L178" s="273">
        <f>_xlfn.IFNA(VLOOKUP(A178,'Post 16'!A:AC,13,FALSE),0)+(_xlfn.IFNA(VLOOKUP(A178,'Post 16'!A:AC,25,FALSE),0))</f>
        <v>0</v>
      </c>
      <c r="M178" s="273">
        <f>VLOOKUP(A178,HN!A:P,16,FALSE)</f>
        <v>0</v>
      </c>
      <c r="N178" s="273">
        <f>VLOOKUP(A178,HN!A:T,20,FALSE)</f>
        <v>0</v>
      </c>
      <c r="O178" s="273">
        <f>VLOOKUP(A178,EY!A:O,15,FALSE)</f>
        <v>155329.59999999998</v>
      </c>
      <c r="P178" s="273">
        <f>-VLOOKUP(A178,Adjustments!A:M,11,FALSE)</f>
        <v>-9471</v>
      </c>
      <c r="Q178" s="273"/>
      <c r="R178" s="273"/>
      <c r="S178" s="273">
        <f t="shared" si="23"/>
        <v>2291532.1425343496</v>
      </c>
      <c r="T178" s="37"/>
      <c r="U178" s="37">
        <v>186303.71687786246</v>
      </c>
      <c r="V178" s="37">
        <v>186303.71687786246</v>
      </c>
      <c r="W178" s="37">
        <v>186303.71687786246</v>
      </c>
      <c r="X178" s="37">
        <v>192513.44</v>
      </c>
      <c r="Y178" s="37">
        <v>192513.44</v>
      </c>
      <c r="Z178" s="37">
        <f t="shared" si="26"/>
        <v>192513.44398759527</v>
      </c>
      <c r="AA178" s="37">
        <f t="shared" si="25"/>
        <v>192513.44</v>
      </c>
      <c r="AB178" s="37">
        <f t="shared" si="25"/>
        <v>192513.44</v>
      </c>
      <c r="AC178" s="37">
        <f t="shared" si="25"/>
        <v>192513.44</v>
      </c>
      <c r="AD178" s="37">
        <f t="shared" si="25"/>
        <v>192513.44</v>
      </c>
      <c r="AE178" s="37">
        <f t="shared" si="25"/>
        <v>192513.44</v>
      </c>
      <c r="AF178" s="37">
        <f t="shared" si="20"/>
        <v>192513.46791316709</v>
      </c>
      <c r="AG178" s="37">
        <f t="shared" si="21"/>
        <v>2291532.1425343496</v>
      </c>
      <c r="AH178" s="37" t="b">
        <f t="shared" si="22"/>
        <v>1</v>
      </c>
      <c r="AI178" s="37"/>
      <c r="AJ178" s="37"/>
      <c r="AK178" s="37"/>
      <c r="AL178" s="37"/>
      <c r="AM178" s="37"/>
      <c r="AN178" s="37"/>
      <c r="AO178" s="37"/>
      <c r="AP178" s="207"/>
      <c r="AR178" s="37"/>
      <c r="AS178" s="37"/>
      <c r="AT178" s="37"/>
      <c r="AU178" s="37"/>
      <c r="AV178" s="37"/>
      <c r="AW178" s="37"/>
      <c r="AX178" s="37"/>
      <c r="AY178" s="37"/>
      <c r="AZ178" s="37"/>
      <c r="BA178" s="64"/>
    </row>
    <row r="179" spans="1:53">
      <c r="A179" s="231">
        <v>3321</v>
      </c>
      <c r="B179" s="4">
        <v>103425</v>
      </c>
      <c r="C179" s="4" t="s">
        <v>457</v>
      </c>
      <c r="D179" s="4" t="s">
        <v>458</v>
      </c>
      <c r="E179" s="213" t="s">
        <v>5</v>
      </c>
      <c r="F179" s="248" t="s">
        <v>415</v>
      </c>
      <c r="G179" s="37"/>
      <c r="H179" s="272">
        <f>_xlfn.IFNA(VLOOKUP(A179,ISB!$A$4:$BY$454,67,FALSE),0)</f>
        <v>1957748.5491378119</v>
      </c>
      <c r="I179" s="272">
        <f>_xlfn.IFNA(VLOOKUP(A179,ISB!$A$4:$BY$454,72,FALSE),0)</f>
        <v>-9000.1299999999992</v>
      </c>
      <c r="J179" s="273">
        <f>-_xlfn.IFNA(VLOOKUP(A179,ISB!$A$4:$BY$454,76,FALSE),0)</f>
        <v>-3815.9749000000002</v>
      </c>
      <c r="K179" s="273">
        <f>_xlfn.IFNA(VLOOKUP(A179,ISB!$A$4:$BY$454,77,FALSE),0)</f>
        <v>1944932.444237812</v>
      </c>
      <c r="L179" s="273">
        <f>_xlfn.IFNA(VLOOKUP(A179,'Post 16'!A:AC,13,FALSE),0)+(_xlfn.IFNA(VLOOKUP(A179,'Post 16'!A:AC,25,FALSE),0))</f>
        <v>0</v>
      </c>
      <c r="M179" s="273">
        <f>VLOOKUP(A179,HN!A:P,16,FALSE)</f>
        <v>0</v>
      </c>
      <c r="N179" s="273">
        <f>VLOOKUP(A179,HN!A:T,20,FALSE)</f>
        <v>0</v>
      </c>
      <c r="O179" s="273">
        <f>VLOOKUP(A179,EY!A:O,15,FALSE)</f>
        <v>0</v>
      </c>
      <c r="P179" s="273">
        <f>-VLOOKUP(A179,Adjustments!A:M,11,FALSE)</f>
        <v>-9471</v>
      </c>
      <c r="Q179" s="273"/>
      <c r="R179" s="273"/>
      <c r="S179" s="273">
        <f t="shared" si="23"/>
        <v>1935461.444237812</v>
      </c>
      <c r="T179" s="37"/>
      <c r="U179" s="37">
        <v>161288.45368648434</v>
      </c>
      <c r="V179" s="37">
        <v>161288.45368648434</v>
      </c>
      <c r="W179" s="37">
        <v>161288.45368648434</v>
      </c>
      <c r="X179" s="37">
        <v>161288.45000000001</v>
      </c>
      <c r="Y179" s="37">
        <v>161288.45000000001</v>
      </c>
      <c r="Z179" s="37">
        <f t="shared" si="26"/>
        <v>161288.45414729486</v>
      </c>
      <c r="AA179" s="37">
        <f t="shared" si="25"/>
        <v>161288.45000000001</v>
      </c>
      <c r="AB179" s="37">
        <f t="shared" si="25"/>
        <v>161288.45000000001</v>
      </c>
      <c r="AC179" s="37">
        <f t="shared" si="25"/>
        <v>161288.45000000001</v>
      </c>
      <c r="AD179" s="37">
        <f t="shared" si="25"/>
        <v>161288.45000000001</v>
      </c>
      <c r="AE179" s="37">
        <f t="shared" si="25"/>
        <v>161288.45000000001</v>
      </c>
      <c r="AF179" s="37">
        <f t="shared" si="20"/>
        <v>161288.47903106431</v>
      </c>
      <c r="AG179" s="37">
        <f t="shared" si="21"/>
        <v>1935461.444237812</v>
      </c>
      <c r="AH179" s="37" t="b">
        <f t="shared" si="22"/>
        <v>1</v>
      </c>
      <c r="AI179" s="37"/>
      <c r="AJ179" s="37"/>
      <c r="AK179" s="37"/>
      <c r="AL179" s="37"/>
      <c r="AM179" s="37"/>
      <c r="AN179" s="37"/>
      <c r="AO179" s="37"/>
      <c r="AP179" s="207"/>
      <c r="AR179" s="37"/>
      <c r="AS179" s="37"/>
      <c r="AT179" s="37"/>
      <c r="AU179" s="37"/>
      <c r="AV179" s="37"/>
      <c r="AW179" s="37"/>
      <c r="AX179" s="37"/>
      <c r="AY179" s="37"/>
      <c r="AZ179" s="37"/>
      <c r="BA179" s="64"/>
    </row>
    <row r="180" spans="1:53">
      <c r="A180" s="231">
        <v>3435</v>
      </c>
      <c r="B180" s="4">
        <v>131920</v>
      </c>
      <c r="C180" s="4" t="s">
        <v>460</v>
      </c>
      <c r="D180" s="4" t="s">
        <v>461</v>
      </c>
      <c r="E180" s="213" t="s">
        <v>5</v>
      </c>
      <c r="F180" s="248" t="s">
        <v>415</v>
      </c>
      <c r="G180" s="37"/>
      <c r="H180" s="272">
        <f>_xlfn.IFNA(VLOOKUP(A180,ISB!$A$4:$BY$454,67,FALSE),0)</f>
        <v>1950613.9706999999</v>
      </c>
      <c r="I180" s="272">
        <f>_xlfn.IFNA(VLOOKUP(A180,ISB!$A$4:$BY$454,72,FALSE),0)</f>
        <v>-10579.54</v>
      </c>
      <c r="J180" s="273">
        <f>-_xlfn.IFNA(VLOOKUP(A180,ISB!$A$4:$BY$454,76,FALSE),0)</f>
        <v>-5193.9706999999999</v>
      </c>
      <c r="K180" s="273">
        <f>_xlfn.IFNA(VLOOKUP(A180,ISB!$A$4:$BY$454,77,FALSE),0)</f>
        <v>1934840.46</v>
      </c>
      <c r="L180" s="273">
        <f>_xlfn.IFNA(VLOOKUP(A180,'Post 16'!A:AC,13,FALSE),0)+(_xlfn.IFNA(VLOOKUP(A180,'Post 16'!A:AC,25,FALSE),0))</f>
        <v>0</v>
      </c>
      <c r="M180" s="273">
        <f>VLOOKUP(A180,HN!A:P,16,FALSE)</f>
        <v>0</v>
      </c>
      <c r="N180" s="273">
        <f>VLOOKUP(A180,HN!A:T,20,FALSE)</f>
        <v>0</v>
      </c>
      <c r="O180" s="273">
        <f>VLOOKUP(A180,EY!A:O,15,FALSE)</f>
        <v>0</v>
      </c>
      <c r="P180" s="273">
        <f>-VLOOKUP(A180,Adjustments!A:M,11,FALSE)</f>
        <v>-9471</v>
      </c>
      <c r="Q180" s="273"/>
      <c r="R180" s="273"/>
      <c r="S180" s="273">
        <f t="shared" si="23"/>
        <v>1925369.46</v>
      </c>
      <c r="T180" s="37"/>
      <c r="U180" s="37">
        <v>160447.45499999999</v>
      </c>
      <c r="V180" s="37">
        <v>160447.45499999999</v>
      </c>
      <c r="W180" s="37">
        <v>160447.45499999999</v>
      </c>
      <c r="X180" s="37">
        <v>160447.46</v>
      </c>
      <c r="Y180" s="37">
        <v>160447.45000000001</v>
      </c>
      <c r="Z180" s="37">
        <f t="shared" si="26"/>
        <v>160447.454375</v>
      </c>
      <c r="AA180" s="37">
        <f t="shared" si="25"/>
        <v>160447.46</v>
      </c>
      <c r="AB180" s="37">
        <f t="shared" si="25"/>
        <v>160447.46</v>
      </c>
      <c r="AC180" s="37">
        <f t="shared" si="25"/>
        <v>160447.46</v>
      </c>
      <c r="AD180" s="37">
        <f t="shared" si="25"/>
        <v>160447.46</v>
      </c>
      <c r="AE180" s="37">
        <f t="shared" si="25"/>
        <v>160447.46</v>
      </c>
      <c r="AF180" s="37">
        <f t="shared" si="20"/>
        <v>160447.43062500027</v>
      </c>
      <c r="AG180" s="37">
        <f t="shared" si="21"/>
        <v>1925369.46</v>
      </c>
      <c r="AH180" s="37" t="b">
        <f t="shared" si="22"/>
        <v>1</v>
      </c>
      <c r="AI180" s="37"/>
      <c r="AJ180" s="37"/>
      <c r="AK180" s="37"/>
      <c r="AL180" s="37"/>
      <c r="AM180" s="37"/>
      <c r="AN180" s="37"/>
      <c r="AO180" s="37"/>
      <c r="AP180" s="207"/>
      <c r="AR180" s="37"/>
      <c r="AS180" s="37"/>
      <c r="AT180" s="37"/>
      <c r="AU180" s="37"/>
      <c r="AV180" s="37"/>
      <c r="AW180" s="37"/>
      <c r="AX180" s="37"/>
      <c r="AY180" s="37"/>
      <c r="AZ180" s="37"/>
      <c r="BA180" s="64"/>
    </row>
    <row r="181" spans="1:53">
      <c r="A181" s="231">
        <v>7050</v>
      </c>
      <c r="B181" s="4">
        <v>103625</v>
      </c>
      <c r="C181" s="4" t="s">
        <v>463</v>
      </c>
      <c r="D181" s="4" t="s">
        <v>464</v>
      </c>
      <c r="E181" s="213" t="s">
        <v>1093</v>
      </c>
      <c r="F181" s="248" t="s">
        <v>415</v>
      </c>
      <c r="G181" s="37"/>
      <c r="H181" s="272">
        <f>_xlfn.IFNA(VLOOKUP(A181,ISB!$A$4:$BY$454,67,FALSE),0)</f>
        <v>0</v>
      </c>
      <c r="I181" s="272">
        <f>_xlfn.IFNA(VLOOKUP(A181,ISB!$A$4:$BY$454,72,FALSE),0)</f>
        <v>0</v>
      </c>
      <c r="J181" s="273">
        <f>-_xlfn.IFNA(VLOOKUP(A181,ISB!$A$4:$BY$454,76,FALSE),0)</f>
        <v>0</v>
      </c>
      <c r="K181" s="273">
        <f>_xlfn.IFNA(VLOOKUP(A181,ISB!$A$4:$BY$454,77,FALSE),0)</f>
        <v>0</v>
      </c>
      <c r="L181" s="273">
        <f>_xlfn.IFNA(VLOOKUP(A181,'Post 16'!A:AC,13,FALSE),0)+(_xlfn.IFNA(VLOOKUP(A181,'Post 16'!A:AC,25,FALSE),0))</f>
        <v>0</v>
      </c>
      <c r="M181" s="273">
        <f>VLOOKUP(A181,HN!A:P,16,FALSE)</f>
        <v>2937992.371328901</v>
      </c>
      <c r="N181" s="273">
        <f>VLOOKUP(A181,HN!A:T,20,FALSE)</f>
        <v>0</v>
      </c>
      <c r="O181" s="273">
        <f>VLOOKUP(A181,EY!A:O,15,FALSE)</f>
        <v>0</v>
      </c>
      <c r="P181" s="273">
        <f>-VLOOKUP(A181,Adjustments!A:M,11,FALSE)</f>
        <v>-3291.75</v>
      </c>
      <c r="Q181" s="273"/>
      <c r="R181" s="273"/>
      <c r="S181" s="273">
        <f t="shared" si="23"/>
        <v>2934700.621328901</v>
      </c>
      <c r="T181" s="37"/>
      <c r="U181" s="37">
        <v>225658.38511074174</v>
      </c>
      <c r="V181" s="37">
        <v>225658.38511074174</v>
      </c>
      <c r="W181" s="37">
        <v>225658.38511074174</v>
      </c>
      <c r="X181" s="37">
        <v>250858.39</v>
      </c>
      <c r="Y181" s="37">
        <v>250858.38</v>
      </c>
      <c r="Z181" s="37">
        <f t="shared" si="26"/>
        <v>250858.38449958447</v>
      </c>
      <c r="AA181" s="37">
        <f t="shared" si="25"/>
        <v>250858.39</v>
      </c>
      <c r="AB181" s="37">
        <f t="shared" si="25"/>
        <v>250858.39</v>
      </c>
      <c r="AC181" s="37">
        <f t="shared" si="25"/>
        <v>250858.39</v>
      </c>
      <c r="AD181" s="37">
        <f t="shared" si="25"/>
        <v>250858.39</v>
      </c>
      <c r="AE181" s="37">
        <f t="shared" si="25"/>
        <v>250858.39</v>
      </c>
      <c r="AF181" s="37">
        <f t="shared" si="20"/>
        <v>250858.36149709066</v>
      </c>
      <c r="AG181" s="37">
        <f t="shared" si="21"/>
        <v>2934700.621328901</v>
      </c>
      <c r="AH181" s="37" t="b">
        <f t="shared" si="22"/>
        <v>1</v>
      </c>
      <c r="AI181" s="37"/>
      <c r="AJ181" s="37"/>
      <c r="AK181" s="37"/>
      <c r="AL181" s="37"/>
      <c r="AM181" s="37"/>
      <c r="AN181" s="37"/>
      <c r="AO181" s="37"/>
      <c r="AP181" s="207"/>
      <c r="AR181" s="37"/>
      <c r="AS181" s="37"/>
      <c r="AT181" s="37"/>
      <c r="AU181" s="37"/>
      <c r="AV181" s="37"/>
      <c r="AW181" s="37"/>
      <c r="AX181" s="37"/>
      <c r="AY181" s="37"/>
      <c r="AZ181" s="37"/>
      <c r="BA181" s="64"/>
    </row>
    <row r="182" spans="1:53">
      <c r="A182" s="231">
        <v>2081</v>
      </c>
      <c r="B182" s="4">
        <v>103201</v>
      </c>
      <c r="C182" s="4" t="s">
        <v>466</v>
      </c>
      <c r="D182" s="4" t="s">
        <v>467</v>
      </c>
      <c r="E182" s="213" t="s">
        <v>5</v>
      </c>
      <c r="F182" s="248" t="s">
        <v>415</v>
      </c>
      <c r="G182" s="37"/>
      <c r="H182" s="272">
        <f>_xlfn.IFNA(VLOOKUP(A182,ISB!$A$4:$BY$454,67,FALSE),0)</f>
        <v>2039419.5890771016</v>
      </c>
      <c r="I182" s="272">
        <f>_xlfn.IFNA(VLOOKUP(A182,ISB!$A$4:$BY$454,72,FALSE),0)</f>
        <v>-10479.26</v>
      </c>
      <c r="J182" s="273">
        <f>-_xlfn.IFNA(VLOOKUP(A182,ISB!$A$4:$BY$454,76,FALSE),0)</f>
        <v>-41339.750399999997</v>
      </c>
      <c r="K182" s="273">
        <f>_xlfn.IFNA(VLOOKUP(A182,ISB!$A$4:$BY$454,77,FALSE),0)</f>
        <v>1987600.5786771015</v>
      </c>
      <c r="L182" s="273">
        <f>_xlfn.IFNA(VLOOKUP(A182,'Post 16'!A:AC,13,FALSE),0)+(_xlfn.IFNA(VLOOKUP(A182,'Post 16'!A:AC,25,FALSE),0))</f>
        <v>0</v>
      </c>
      <c r="M182" s="273">
        <f>VLOOKUP(A182,HN!A:P,16,FALSE)</f>
        <v>0</v>
      </c>
      <c r="N182" s="273">
        <f>VLOOKUP(A182,HN!A:T,20,FALSE)</f>
        <v>0</v>
      </c>
      <c r="O182" s="273">
        <f>VLOOKUP(A182,EY!A:O,15,FALSE)</f>
        <v>46113.600000000006</v>
      </c>
      <c r="P182" s="273">
        <f>-VLOOKUP(A182,Adjustments!A:M,11,FALSE)</f>
        <v>-9471</v>
      </c>
      <c r="Q182" s="273"/>
      <c r="R182" s="273"/>
      <c r="S182" s="273">
        <f t="shared" si="23"/>
        <v>2024243.1786771016</v>
      </c>
      <c r="T182" s="37"/>
      <c r="U182" s="37">
        <v>170167.58988975847</v>
      </c>
      <c r="V182" s="37">
        <v>170167.58988975847</v>
      </c>
      <c r="W182" s="37">
        <v>170167.58988975847</v>
      </c>
      <c r="X182" s="37">
        <v>168193.38</v>
      </c>
      <c r="Y182" s="37">
        <v>168193.38</v>
      </c>
      <c r="Z182" s="37">
        <f t="shared" si="26"/>
        <v>168193.37862597828</v>
      </c>
      <c r="AA182" s="37">
        <f t="shared" si="25"/>
        <v>168193.38</v>
      </c>
      <c r="AB182" s="37">
        <f t="shared" si="25"/>
        <v>168193.38</v>
      </c>
      <c r="AC182" s="37">
        <f t="shared" si="25"/>
        <v>168193.38</v>
      </c>
      <c r="AD182" s="37">
        <f t="shared" si="25"/>
        <v>168193.38</v>
      </c>
      <c r="AE182" s="37">
        <f t="shared" si="25"/>
        <v>168193.38</v>
      </c>
      <c r="AF182" s="37">
        <f t="shared" si="20"/>
        <v>168193.37038184842</v>
      </c>
      <c r="AG182" s="37">
        <f t="shared" si="21"/>
        <v>2024243.1786771016</v>
      </c>
      <c r="AH182" s="37" t="b">
        <f t="shared" si="22"/>
        <v>1</v>
      </c>
      <c r="AI182" s="37"/>
      <c r="AJ182" s="37"/>
      <c r="AK182" s="37"/>
      <c r="AL182" s="37"/>
      <c r="AM182" s="37"/>
      <c r="AN182" s="37"/>
      <c r="AO182" s="37"/>
      <c r="AP182" s="207"/>
      <c r="AR182" s="37"/>
      <c r="AS182" s="37"/>
      <c r="AT182" s="37"/>
      <c r="AU182" s="37"/>
      <c r="AV182" s="37"/>
      <c r="AW182" s="37"/>
      <c r="AX182" s="37"/>
      <c r="AY182" s="37"/>
      <c r="AZ182" s="37"/>
      <c r="BA182" s="64"/>
    </row>
    <row r="183" spans="1:53">
      <c r="A183" s="231">
        <v>2093</v>
      </c>
      <c r="B183" s="4">
        <v>103210</v>
      </c>
      <c r="C183" s="4" t="s">
        <v>469</v>
      </c>
      <c r="D183" s="4" t="s">
        <v>470</v>
      </c>
      <c r="E183" s="213" t="s">
        <v>5</v>
      </c>
      <c r="F183" s="248" t="s">
        <v>415</v>
      </c>
      <c r="G183" s="37"/>
      <c r="H183" s="272">
        <f>_xlfn.IFNA(VLOOKUP(A183,ISB!$A$4:$BY$454,67,FALSE),0)</f>
        <v>1759979.0908292644</v>
      </c>
      <c r="I183" s="272">
        <f>_xlfn.IFNA(VLOOKUP(A183,ISB!$A$4:$BY$454,72,FALSE),0)</f>
        <v>-8749.43</v>
      </c>
      <c r="J183" s="273">
        <f>-_xlfn.IFNA(VLOOKUP(A183,ISB!$A$4:$BY$454,76,FALSE),0)</f>
        <v>-19886.786800000002</v>
      </c>
      <c r="K183" s="273">
        <f>_xlfn.IFNA(VLOOKUP(A183,ISB!$A$4:$BY$454,77,FALSE),0)</f>
        <v>1731342.8740292643</v>
      </c>
      <c r="L183" s="273">
        <f>_xlfn.IFNA(VLOOKUP(A183,'Post 16'!A:AC,13,FALSE),0)+(_xlfn.IFNA(VLOOKUP(A183,'Post 16'!A:AC,25,FALSE),0))</f>
        <v>0</v>
      </c>
      <c r="M183" s="273">
        <f>VLOOKUP(A183,HN!A:P,16,FALSE)</f>
        <v>0</v>
      </c>
      <c r="N183" s="273">
        <f>VLOOKUP(A183,HN!A:T,20,FALSE)</f>
        <v>0</v>
      </c>
      <c r="O183" s="273">
        <f>VLOOKUP(A183,EY!A:O,15,FALSE)</f>
        <v>142541.1</v>
      </c>
      <c r="P183" s="273">
        <f>-VLOOKUP(A183,Adjustments!A:M,11,FALSE)</f>
        <v>0</v>
      </c>
      <c r="Q183" s="273"/>
      <c r="R183" s="273"/>
      <c r="S183" s="273">
        <f t="shared" si="23"/>
        <v>1873883.9740292644</v>
      </c>
      <c r="T183" s="37"/>
      <c r="U183" s="37">
        <v>155621.18221077204</v>
      </c>
      <c r="V183" s="37">
        <v>155621.18221077204</v>
      </c>
      <c r="W183" s="37">
        <v>155621.18221077204</v>
      </c>
      <c r="X183" s="37">
        <v>156335.6</v>
      </c>
      <c r="Y183" s="37">
        <v>156335.6</v>
      </c>
      <c r="Z183" s="37">
        <f t="shared" si="26"/>
        <v>156335.60342461854</v>
      </c>
      <c r="AA183" s="37">
        <f t="shared" si="25"/>
        <v>156335.6</v>
      </c>
      <c r="AB183" s="37">
        <f t="shared" si="25"/>
        <v>156335.6</v>
      </c>
      <c r="AC183" s="37">
        <f t="shared" si="25"/>
        <v>156335.6</v>
      </c>
      <c r="AD183" s="37">
        <f t="shared" si="25"/>
        <v>156335.6</v>
      </c>
      <c r="AE183" s="37">
        <f t="shared" si="25"/>
        <v>156335.6</v>
      </c>
      <c r="AF183" s="37">
        <f t="shared" si="20"/>
        <v>156335.62397232931</v>
      </c>
      <c r="AG183" s="37">
        <f t="shared" si="21"/>
        <v>1873883.9740292644</v>
      </c>
      <c r="AH183" s="37" t="b">
        <f t="shared" si="22"/>
        <v>1</v>
      </c>
      <c r="AI183" s="37"/>
      <c r="AJ183" s="37"/>
      <c r="AK183" s="37"/>
      <c r="AL183" s="37"/>
      <c r="AM183" s="37"/>
      <c r="AN183" s="37"/>
      <c r="AO183" s="37"/>
      <c r="AP183" s="207"/>
      <c r="AR183" s="37"/>
      <c r="AS183" s="37"/>
      <c r="AT183" s="37"/>
      <c r="AU183" s="37"/>
      <c r="AV183" s="37"/>
      <c r="AW183" s="37"/>
      <c r="AX183" s="37"/>
      <c r="AY183" s="37"/>
      <c r="AZ183" s="37"/>
      <c r="BA183" s="64"/>
    </row>
    <row r="184" spans="1:53">
      <c r="A184" s="231">
        <v>2099</v>
      </c>
      <c r="B184" s="4">
        <v>103214</v>
      </c>
      <c r="C184" s="4" t="s">
        <v>472</v>
      </c>
      <c r="D184" s="4" t="s">
        <v>473</v>
      </c>
      <c r="E184" s="213" t="s">
        <v>5</v>
      </c>
      <c r="F184" s="248" t="s">
        <v>415</v>
      </c>
      <c r="G184" s="37"/>
      <c r="H184" s="272">
        <f>_xlfn.IFNA(VLOOKUP(A184,ISB!$A$4:$BY$454,67,FALSE),0)</f>
        <v>1298842.5330312438</v>
      </c>
      <c r="I184" s="272">
        <f>_xlfn.IFNA(VLOOKUP(A184,ISB!$A$4:$BY$454,72,FALSE),0)</f>
        <v>-5114.28</v>
      </c>
      <c r="J184" s="273">
        <f>-_xlfn.IFNA(VLOOKUP(A184,ISB!$A$4:$BY$454,76,FALSE),0)</f>
        <v>-15883.599099999999</v>
      </c>
      <c r="K184" s="273">
        <f>_xlfn.IFNA(VLOOKUP(A184,ISB!$A$4:$BY$454,77,FALSE),0)</f>
        <v>1277844.6539312438</v>
      </c>
      <c r="L184" s="273">
        <f>_xlfn.IFNA(VLOOKUP(A184,'Post 16'!A:AC,13,FALSE),0)+(_xlfn.IFNA(VLOOKUP(A184,'Post 16'!A:AC,25,FALSE),0))</f>
        <v>0</v>
      </c>
      <c r="M184" s="273">
        <f>VLOOKUP(A184,HN!A:P,16,FALSE)</f>
        <v>0</v>
      </c>
      <c r="N184" s="273">
        <f>VLOOKUP(A184,HN!A:T,20,FALSE)</f>
        <v>195198.79203076923</v>
      </c>
      <c r="O184" s="273">
        <f>VLOOKUP(A184,EY!A:O,15,FALSE)</f>
        <v>66684</v>
      </c>
      <c r="P184" s="273">
        <f>-VLOOKUP(A184,Adjustments!A:M,11,FALSE)</f>
        <v>-5139.75</v>
      </c>
      <c r="Q184" s="273"/>
      <c r="R184" s="273"/>
      <c r="S184" s="273">
        <f t="shared" si="23"/>
        <v>1534587.695962013</v>
      </c>
      <c r="T184" s="37"/>
      <c r="U184" s="37">
        <v>109993.53842284175</v>
      </c>
      <c r="V184" s="37">
        <v>109993.53842284175</v>
      </c>
      <c r="W184" s="37">
        <v>109993.53842284175</v>
      </c>
      <c r="X184" s="37">
        <v>177222.7440102564</v>
      </c>
      <c r="Y184" s="37">
        <v>128423.03999999999</v>
      </c>
      <c r="Z184" s="37">
        <f t="shared" si="26"/>
        <v>128423.04208540391</v>
      </c>
      <c r="AA184" s="37">
        <f t="shared" si="25"/>
        <v>128423.03999999999</v>
      </c>
      <c r="AB184" s="37">
        <f t="shared" si="25"/>
        <v>128423.03999999999</v>
      </c>
      <c r="AC184" s="37">
        <f t="shared" si="25"/>
        <v>128423.03999999999</v>
      </c>
      <c r="AD184" s="37">
        <f t="shared" si="25"/>
        <v>128423.03999999999</v>
      </c>
      <c r="AE184" s="37">
        <f t="shared" si="25"/>
        <v>128423.03999999999</v>
      </c>
      <c r="AF184" s="37">
        <f t="shared" si="20"/>
        <v>128423.05459782714</v>
      </c>
      <c r="AG184" s="37">
        <f t="shared" si="21"/>
        <v>1534587.695962013</v>
      </c>
      <c r="AH184" s="37" t="b">
        <f t="shared" si="22"/>
        <v>1</v>
      </c>
      <c r="AI184" s="37"/>
      <c r="AJ184" s="37"/>
      <c r="AK184" s="37"/>
      <c r="AL184" s="37"/>
      <c r="AM184" s="37"/>
      <c r="AN184" s="37"/>
      <c r="AO184" s="37"/>
      <c r="AP184" s="207"/>
      <c r="AR184" s="37"/>
      <c r="AS184" s="37"/>
      <c r="AT184" s="37"/>
      <c r="AU184" s="37"/>
      <c r="AV184" s="37"/>
      <c r="AW184" s="37"/>
      <c r="AX184" s="37"/>
      <c r="AY184" s="37"/>
      <c r="AZ184" s="37"/>
      <c r="BA184" s="64"/>
    </row>
    <row r="185" spans="1:53">
      <c r="A185" s="231">
        <v>2189</v>
      </c>
      <c r="B185" s="4">
        <v>103265</v>
      </c>
      <c r="C185" s="4" t="s">
        <v>475</v>
      </c>
      <c r="D185" s="4" t="s">
        <v>476</v>
      </c>
      <c r="E185" s="213" t="s">
        <v>5</v>
      </c>
      <c r="F185" s="248" t="s">
        <v>415</v>
      </c>
      <c r="G185" s="37"/>
      <c r="H185" s="272">
        <f>_xlfn.IFNA(VLOOKUP(A185,ISB!$A$4:$BY$454,67,FALSE),0)</f>
        <v>1434186.3722050528</v>
      </c>
      <c r="I185" s="272">
        <f>_xlfn.IFNA(VLOOKUP(A185,ISB!$A$4:$BY$454,72,FALSE),0)</f>
        <v>-5816.24</v>
      </c>
      <c r="J185" s="273">
        <f>-_xlfn.IFNA(VLOOKUP(A185,ISB!$A$4:$BY$454,76,FALSE),0)</f>
        <v>-31534.809600000001</v>
      </c>
      <c r="K185" s="273">
        <f>_xlfn.IFNA(VLOOKUP(A185,ISB!$A$4:$BY$454,77,FALSE),0)</f>
        <v>1396835.3226050527</v>
      </c>
      <c r="L185" s="273">
        <f>_xlfn.IFNA(VLOOKUP(A185,'Post 16'!A:AC,13,FALSE),0)+(_xlfn.IFNA(VLOOKUP(A185,'Post 16'!A:AC,25,FALSE),0))</f>
        <v>0</v>
      </c>
      <c r="M185" s="273">
        <f>VLOOKUP(A185,HN!A:P,16,FALSE)</f>
        <v>0</v>
      </c>
      <c r="N185" s="273">
        <f>VLOOKUP(A185,HN!A:T,20,FALSE)</f>
        <v>0</v>
      </c>
      <c r="O185" s="273">
        <f>VLOOKUP(A185,EY!A:O,15,FALSE)</f>
        <v>38030.699999999997</v>
      </c>
      <c r="P185" s="273">
        <f>-VLOOKUP(A185,Adjustments!A:M,11,FALSE)</f>
        <v>-5139.75</v>
      </c>
      <c r="Q185" s="273"/>
      <c r="R185" s="273"/>
      <c r="S185" s="273">
        <f t="shared" si="23"/>
        <v>1429726.2726050527</v>
      </c>
      <c r="T185" s="37"/>
      <c r="U185" s="37">
        <v>121069.66855042106</v>
      </c>
      <c r="V185" s="37">
        <v>121069.66855042106</v>
      </c>
      <c r="W185" s="37">
        <v>121069.66855042106</v>
      </c>
      <c r="X185" s="37">
        <v>118501.92</v>
      </c>
      <c r="Y185" s="37">
        <v>118501.92</v>
      </c>
      <c r="Z185" s="37">
        <f t="shared" si="26"/>
        <v>118501.91836922368</v>
      </c>
      <c r="AA185" s="37">
        <f t="shared" si="25"/>
        <v>118501.92</v>
      </c>
      <c r="AB185" s="37">
        <f t="shared" si="25"/>
        <v>118501.92</v>
      </c>
      <c r="AC185" s="37">
        <f t="shared" si="25"/>
        <v>118501.92</v>
      </c>
      <c r="AD185" s="37">
        <f t="shared" si="25"/>
        <v>118501.92</v>
      </c>
      <c r="AE185" s="37">
        <f t="shared" si="25"/>
        <v>118501.92</v>
      </c>
      <c r="AF185" s="37">
        <f t="shared" si="20"/>
        <v>118501.90858456586</v>
      </c>
      <c r="AG185" s="37">
        <f t="shared" si="21"/>
        <v>1429726.2726050527</v>
      </c>
      <c r="AH185" s="37" t="b">
        <f t="shared" si="22"/>
        <v>1</v>
      </c>
      <c r="AI185" s="37"/>
      <c r="AJ185" s="37"/>
      <c r="AK185" s="37"/>
      <c r="AL185" s="37"/>
      <c r="AM185" s="37"/>
      <c r="AN185" s="37"/>
      <c r="AO185" s="37"/>
      <c r="AP185" s="207"/>
      <c r="AR185" s="37"/>
      <c r="AS185" s="37"/>
      <c r="AT185" s="37"/>
      <c r="AU185" s="37"/>
      <c r="AV185" s="37"/>
      <c r="AW185" s="37"/>
      <c r="AX185" s="37"/>
      <c r="AY185" s="37"/>
      <c r="AZ185" s="37"/>
      <c r="BA185" s="64"/>
    </row>
    <row r="186" spans="1:53">
      <c r="A186" s="231">
        <v>7060</v>
      </c>
      <c r="B186" s="4">
        <v>103630</v>
      </c>
      <c r="C186" s="4" t="s">
        <v>478</v>
      </c>
      <c r="D186" s="4" t="s">
        <v>479</v>
      </c>
      <c r="E186" s="213" t="s">
        <v>1093</v>
      </c>
      <c r="F186" s="248" t="s">
        <v>415</v>
      </c>
      <c r="G186" s="37"/>
      <c r="H186" s="272">
        <f>_xlfn.IFNA(VLOOKUP(A186,ISB!$A$4:$BY$454,67,FALSE),0)</f>
        <v>0</v>
      </c>
      <c r="I186" s="272">
        <f>_xlfn.IFNA(VLOOKUP(A186,ISB!$A$4:$BY$454,72,FALSE),0)</f>
        <v>0</v>
      </c>
      <c r="J186" s="273">
        <f>-_xlfn.IFNA(VLOOKUP(A186,ISB!$A$4:$BY$454,76,FALSE),0)</f>
        <v>0</v>
      </c>
      <c r="K186" s="273">
        <f>_xlfn.IFNA(VLOOKUP(A186,ISB!$A$4:$BY$454,77,FALSE),0)</f>
        <v>0</v>
      </c>
      <c r="L186" s="273">
        <f>_xlfn.IFNA(VLOOKUP(A186,'Post 16'!A:AC,13,FALSE),0)+(_xlfn.IFNA(VLOOKUP(A186,'Post 16'!A:AC,25,FALSE),0))</f>
        <v>0</v>
      </c>
      <c r="M186" s="273">
        <f>VLOOKUP(A186,HN!A:P,16,FALSE)</f>
        <v>2372513.4816290503</v>
      </c>
      <c r="N186" s="273">
        <f>VLOOKUP(A186,HN!A:T,20,FALSE)</f>
        <v>0</v>
      </c>
      <c r="O186" s="273">
        <f>VLOOKUP(A186,EY!A:O,15,FALSE)</f>
        <v>0</v>
      </c>
      <c r="P186" s="273">
        <f>-VLOOKUP(A186,Adjustments!A:M,11,FALSE)</f>
        <v>-3291.75</v>
      </c>
      <c r="Q186" s="273"/>
      <c r="R186" s="273"/>
      <c r="S186" s="273">
        <f t="shared" si="23"/>
        <v>2369221.7316290503</v>
      </c>
      <c r="T186" s="37"/>
      <c r="U186" s="37">
        <v>197435.14430242087</v>
      </c>
      <c r="V186" s="37">
        <v>197435.14430242087</v>
      </c>
      <c r="W186" s="37">
        <v>197435.14430242087</v>
      </c>
      <c r="X186" s="37">
        <v>197435.14</v>
      </c>
      <c r="Y186" s="37">
        <v>197435.14</v>
      </c>
      <c r="Z186" s="37">
        <f t="shared" si="26"/>
        <v>197435.14484022348</v>
      </c>
      <c r="AA186" s="37">
        <f t="shared" si="25"/>
        <v>197435.15</v>
      </c>
      <c r="AB186" s="37">
        <f t="shared" si="25"/>
        <v>197435.15</v>
      </c>
      <c r="AC186" s="37">
        <f t="shared" si="25"/>
        <v>197435.15</v>
      </c>
      <c r="AD186" s="37">
        <f t="shared" si="25"/>
        <v>197435.15</v>
      </c>
      <c r="AE186" s="37">
        <f t="shared" si="25"/>
        <v>197435.15</v>
      </c>
      <c r="AF186" s="37">
        <f t="shared" si="20"/>
        <v>197435.12388156448</v>
      </c>
      <c r="AG186" s="37">
        <f t="shared" si="21"/>
        <v>2369221.7316290503</v>
      </c>
      <c r="AH186" s="37" t="b">
        <f t="shared" si="22"/>
        <v>1</v>
      </c>
      <c r="AI186" s="37"/>
      <c r="AJ186" s="37"/>
      <c r="AK186" s="37"/>
      <c r="AL186" s="37"/>
      <c r="AM186" s="37"/>
      <c r="AN186" s="37"/>
      <c r="AO186" s="37"/>
      <c r="AP186" s="207"/>
      <c r="AR186" s="37"/>
      <c r="AS186" s="37"/>
      <c r="AT186" s="37"/>
      <c r="AU186" s="37"/>
      <c r="AV186" s="37"/>
      <c r="AW186" s="37"/>
      <c r="AX186" s="37"/>
      <c r="AY186" s="37"/>
      <c r="AZ186" s="37"/>
      <c r="BA186" s="64"/>
    </row>
    <row r="187" spans="1:53">
      <c r="A187" s="231">
        <v>7012</v>
      </c>
      <c r="B187" s="4">
        <v>103603</v>
      </c>
      <c r="C187" s="4" t="s">
        <v>481</v>
      </c>
      <c r="D187" s="4" t="s">
        <v>482</v>
      </c>
      <c r="E187" s="213" t="s">
        <v>1093</v>
      </c>
      <c r="F187" s="248" t="s">
        <v>415</v>
      </c>
      <c r="G187" s="37"/>
      <c r="H187" s="272">
        <f>_xlfn.IFNA(VLOOKUP(A187,ISB!$A$4:$BY$454,67,FALSE),0)</f>
        <v>0</v>
      </c>
      <c r="I187" s="272">
        <f>_xlfn.IFNA(VLOOKUP(A187,ISB!$A$4:$BY$454,72,FALSE),0)</f>
        <v>0</v>
      </c>
      <c r="J187" s="273">
        <f>-_xlfn.IFNA(VLOOKUP(A187,ISB!$A$4:$BY$454,76,FALSE),0)</f>
        <v>0</v>
      </c>
      <c r="K187" s="273">
        <f>_xlfn.IFNA(VLOOKUP(A187,ISB!$A$4:$BY$454,77,FALSE),0)</f>
        <v>0</v>
      </c>
      <c r="L187" s="273">
        <f>_xlfn.IFNA(VLOOKUP(A187,'Post 16'!A:AC,13,FALSE),0)+(_xlfn.IFNA(VLOOKUP(A187,'Post 16'!A:AC,25,FALSE),0))</f>
        <v>0</v>
      </c>
      <c r="M187" s="273">
        <f>VLOOKUP(A187,HN!A:P,16,FALSE)</f>
        <v>1280588.5162790688</v>
      </c>
      <c r="N187" s="273">
        <f>VLOOKUP(A187,HN!A:T,20,FALSE)</f>
        <v>0</v>
      </c>
      <c r="O187" s="273">
        <f>VLOOKUP(A187,EY!A:O,15,FALSE)</f>
        <v>12844.3</v>
      </c>
      <c r="P187" s="273">
        <f>-VLOOKUP(A187,Adjustments!A:M,11,FALSE)</f>
        <v>-3291.75</v>
      </c>
      <c r="Q187" s="273"/>
      <c r="R187" s="273"/>
      <c r="S187" s="273">
        <f t="shared" si="23"/>
        <v>1290141.0662790688</v>
      </c>
      <c r="T187" s="37"/>
      <c r="U187" s="37">
        <v>107901.51802325573</v>
      </c>
      <c r="V187" s="37">
        <v>107901.51802325573</v>
      </c>
      <c r="W187" s="37">
        <v>107901.51802325573</v>
      </c>
      <c r="X187" s="37">
        <v>107381.83</v>
      </c>
      <c r="Y187" s="37">
        <v>107381.84</v>
      </c>
      <c r="Z187" s="37">
        <f t="shared" si="26"/>
        <v>107381.8352761627</v>
      </c>
      <c r="AA187" s="37">
        <f t="shared" si="25"/>
        <v>107381.83</v>
      </c>
      <c r="AB187" s="37">
        <f t="shared" si="25"/>
        <v>107381.83</v>
      </c>
      <c r="AC187" s="37">
        <f t="shared" si="25"/>
        <v>107381.83</v>
      </c>
      <c r="AD187" s="37">
        <f t="shared" si="25"/>
        <v>107381.83</v>
      </c>
      <c r="AE187" s="37">
        <f t="shared" si="25"/>
        <v>107381.83</v>
      </c>
      <c r="AF187" s="37">
        <f t="shared" si="20"/>
        <v>107381.85693313903</v>
      </c>
      <c r="AG187" s="37">
        <f t="shared" si="21"/>
        <v>1290141.0662790688</v>
      </c>
      <c r="AH187" s="37" t="b">
        <f t="shared" si="22"/>
        <v>1</v>
      </c>
      <c r="AI187" s="37"/>
      <c r="AJ187" s="37"/>
      <c r="AK187" s="37"/>
      <c r="AL187" s="37"/>
      <c r="AM187" s="37"/>
      <c r="AN187" s="37"/>
      <c r="AO187" s="37"/>
      <c r="AP187" s="207"/>
      <c r="AR187" s="37"/>
      <c r="AS187" s="37"/>
      <c r="AT187" s="37"/>
      <c r="AU187" s="37"/>
      <c r="AV187" s="37"/>
      <c r="AW187" s="37"/>
      <c r="AX187" s="37"/>
      <c r="AY187" s="37"/>
      <c r="AZ187" s="37"/>
      <c r="BA187" s="64"/>
    </row>
    <row r="188" spans="1:53">
      <c r="A188" s="231">
        <v>2420</v>
      </c>
      <c r="B188" s="4">
        <v>103353</v>
      </c>
      <c r="C188" s="4" t="s">
        <v>484</v>
      </c>
      <c r="D188" s="4" t="s">
        <v>485</v>
      </c>
      <c r="E188" s="213" t="s">
        <v>5</v>
      </c>
      <c r="F188" s="248" t="s">
        <v>415</v>
      </c>
      <c r="G188" s="37"/>
      <c r="H188" s="272">
        <f>_xlfn.IFNA(VLOOKUP(A188,ISB!$A$4:$BY$454,67,FALSE),0)</f>
        <v>1951515.6403000001</v>
      </c>
      <c r="I188" s="272">
        <f>_xlfn.IFNA(VLOOKUP(A188,ISB!$A$4:$BY$454,72,FALSE),0)</f>
        <v>-10479.26</v>
      </c>
      <c r="J188" s="273">
        <f>-_xlfn.IFNA(VLOOKUP(A188,ISB!$A$4:$BY$454,76,FALSE),0)</f>
        <v>-24535.640299999999</v>
      </c>
      <c r="K188" s="273">
        <f>_xlfn.IFNA(VLOOKUP(A188,ISB!$A$4:$BY$454,77,FALSE),0)</f>
        <v>1916500.74</v>
      </c>
      <c r="L188" s="273">
        <f>_xlfn.IFNA(VLOOKUP(A188,'Post 16'!A:AC,13,FALSE),0)+(_xlfn.IFNA(VLOOKUP(A188,'Post 16'!A:AC,25,FALSE),0))</f>
        <v>0</v>
      </c>
      <c r="M188" s="273">
        <f>VLOOKUP(A188,HN!A:P,16,FALSE)</f>
        <v>0</v>
      </c>
      <c r="N188" s="273">
        <f>VLOOKUP(A188,HN!A:T,20,FALSE)</f>
        <v>0</v>
      </c>
      <c r="O188" s="273">
        <f>VLOOKUP(A188,EY!A:O,15,FALSE)</f>
        <v>0</v>
      </c>
      <c r="P188" s="273">
        <f>-VLOOKUP(A188,Adjustments!A:M,11,FALSE)</f>
        <v>-9471</v>
      </c>
      <c r="Q188" s="273"/>
      <c r="R188" s="273"/>
      <c r="S188" s="273">
        <f t="shared" si="23"/>
        <v>1907029.74</v>
      </c>
      <c r="T188" s="37"/>
      <c r="U188" s="37">
        <v>158919.14499999999</v>
      </c>
      <c r="V188" s="37">
        <v>158919.14499999999</v>
      </c>
      <c r="W188" s="37">
        <v>158919.14499999999</v>
      </c>
      <c r="X188" s="37">
        <v>158919.15</v>
      </c>
      <c r="Y188" s="37">
        <v>158919.14000000001</v>
      </c>
      <c r="Z188" s="37">
        <f t="shared" si="26"/>
        <v>158919.144375</v>
      </c>
      <c r="AA188" s="37">
        <f t="shared" si="25"/>
        <v>158919.15</v>
      </c>
      <c r="AB188" s="37">
        <f t="shared" si="25"/>
        <v>158919.15</v>
      </c>
      <c r="AC188" s="37">
        <f t="shared" si="25"/>
        <v>158919.15</v>
      </c>
      <c r="AD188" s="37">
        <f t="shared" si="25"/>
        <v>158919.15</v>
      </c>
      <c r="AE188" s="37">
        <f t="shared" si="25"/>
        <v>158919.15</v>
      </c>
      <c r="AF188" s="37">
        <f t="shared" si="20"/>
        <v>158919.12062500045</v>
      </c>
      <c r="AG188" s="37">
        <f t="shared" si="21"/>
        <v>1907029.74</v>
      </c>
      <c r="AH188" s="37" t="b">
        <f t="shared" si="22"/>
        <v>1</v>
      </c>
      <c r="AI188" s="37"/>
      <c r="AJ188" s="37"/>
      <c r="AK188" s="37"/>
      <c r="AL188" s="37"/>
      <c r="AM188" s="37"/>
      <c r="AN188" s="37"/>
      <c r="AO188" s="37"/>
      <c r="AP188" s="207"/>
      <c r="AR188" s="37"/>
      <c r="AS188" s="37"/>
      <c r="AT188" s="37"/>
      <c r="AU188" s="37"/>
      <c r="AV188" s="37"/>
      <c r="AW188" s="37"/>
      <c r="AX188" s="37"/>
      <c r="AY188" s="37"/>
      <c r="AZ188" s="37"/>
      <c r="BA188" s="64"/>
    </row>
    <row r="189" spans="1:53">
      <c r="A189" s="231">
        <v>2406</v>
      </c>
      <c r="B189" s="4">
        <v>103345</v>
      </c>
      <c r="C189" s="4" t="s">
        <v>487</v>
      </c>
      <c r="D189" s="4" t="s">
        <v>488</v>
      </c>
      <c r="E189" s="213" t="s">
        <v>5</v>
      </c>
      <c r="F189" s="248" t="s">
        <v>415</v>
      </c>
      <c r="G189" s="37"/>
      <c r="H189" s="272">
        <f>_xlfn.IFNA(VLOOKUP(A189,ISB!$A$4:$BY$454,67,FALSE),0)</f>
        <v>1192525.5860306958</v>
      </c>
      <c r="I189" s="272">
        <f>_xlfn.IFNA(VLOOKUP(A189,ISB!$A$4:$BY$454,72,FALSE),0)</f>
        <v>-5114.28</v>
      </c>
      <c r="J189" s="273">
        <f>-_xlfn.IFNA(VLOOKUP(A189,ISB!$A$4:$BY$454,76,FALSE),0)</f>
        <v>-12359.454100000001</v>
      </c>
      <c r="K189" s="273">
        <f>_xlfn.IFNA(VLOOKUP(A189,ISB!$A$4:$BY$454,77,FALSE),0)</f>
        <v>1175051.8519306958</v>
      </c>
      <c r="L189" s="273">
        <f>_xlfn.IFNA(VLOOKUP(A189,'Post 16'!A:AC,13,FALSE),0)+(_xlfn.IFNA(VLOOKUP(A189,'Post 16'!A:AC,25,FALSE),0))</f>
        <v>0</v>
      </c>
      <c r="M189" s="273">
        <f>VLOOKUP(A189,HN!A:P,16,FALSE)</f>
        <v>0</v>
      </c>
      <c r="N189" s="273">
        <f>VLOOKUP(A189,HN!A:T,20,FALSE)</f>
        <v>0</v>
      </c>
      <c r="O189" s="273">
        <f>VLOOKUP(A189,EY!A:O,15,FALSE)</f>
        <v>0</v>
      </c>
      <c r="P189" s="273">
        <f>-VLOOKUP(A189,Adjustments!A:M,11,FALSE)</f>
        <v>-5139.75</v>
      </c>
      <c r="Q189" s="273"/>
      <c r="R189" s="273"/>
      <c r="S189" s="273">
        <f t="shared" si="23"/>
        <v>1169912.1019306958</v>
      </c>
      <c r="T189" s="37"/>
      <c r="U189" s="37">
        <v>97492.675160891318</v>
      </c>
      <c r="V189" s="37">
        <v>97492.675160891318</v>
      </c>
      <c r="W189" s="37">
        <v>97492.675160891318</v>
      </c>
      <c r="X189" s="37">
        <v>97492.68</v>
      </c>
      <c r="Y189" s="37">
        <v>97492.67</v>
      </c>
      <c r="Z189" s="37">
        <f t="shared" si="26"/>
        <v>97492.674556002734</v>
      </c>
      <c r="AA189" s="37">
        <f t="shared" si="25"/>
        <v>97492.68</v>
      </c>
      <c r="AB189" s="37">
        <f t="shared" si="25"/>
        <v>97492.68</v>
      </c>
      <c r="AC189" s="37">
        <f t="shared" si="25"/>
        <v>97492.68</v>
      </c>
      <c r="AD189" s="37">
        <f t="shared" si="25"/>
        <v>97492.68</v>
      </c>
      <c r="AE189" s="37">
        <f t="shared" si="25"/>
        <v>97492.68</v>
      </c>
      <c r="AF189" s="37">
        <f t="shared" si="20"/>
        <v>97492.651892019436</v>
      </c>
      <c r="AG189" s="37">
        <f t="shared" si="21"/>
        <v>1169912.1019306958</v>
      </c>
      <c r="AH189" s="37" t="b">
        <f t="shared" si="22"/>
        <v>1</v>
      </c>
      <c r="AI189" s="37"/>
      <c r="AJ189" s="37"/>
      <c r="AK189" s="37"/>
      <c r="AL189" s="37"/>
      <c r="AM189" s="37"/>
      <c r="AN189" s="37"/>
      <c r="AO189" s="37"/>
      <c r="AP189" s="207"/>
      <c r="AR189" s="37"/>
      <c r="AS189" s="37"/>
      <c r="AT189" s="37"/>
      <c r="AU189" s="37"/>
      <c r="AV189" s="37"/>
      <c r="AW189" s="37"/>
      <c r="AX189" s="37"/>
      <c r="AY189" s="37"/>
      <c r="AZ189" s="37"/>
      <c r="BA189" s="64"/>
    </row>
    <row r="190" spans="1:53">
      <c r="A190" s="231">
        <v>3351</v>
      </c>
      <c r="B190" s="4">
        <v>103443</v>
      </c>
      <c r="C190" s="4" t="s">
        <v>490</v>
      </c>
      <c r="D190" s="4" t="s">
        <v>491</v>
      </c>
      <c r="E190" s="213" t="s">
        <v>5</v>
      </c>
      <c r="F190" s="248" t="s">
        <v>415</v>
      </c>
      <c r="G190" s="37"/>
      <c r="H190" s="272">
        <f>_xlfn.IFNA(VLOOKUP(A190,ISB!$A$4:$BY$454,67,FALSE),0)</f>
        <v>1243730.2752481098</v>
      </c>
      <c r="I190" s="272">
        <f>_xlfn.IFNA(VLOOKUP(A190,ISB!$A$4:$BY$454,72,FALSE),0)</f>
        <v>-5289.77</v>
      </c>
      <c r="J190" s="273">
        <f>-_xlfn.IFNA(VLOOKUP(A190,ISB!$A$4:$BY$454,76,FALSE),0)</f>
        <v>-21610.934700000002</v>
      </c>
      <c r="K190" s="273">
        <f>_xlfn.IFNA(VLOOKUP(A190,ISB!$A$4:$BY$454,77,FALSE),0)</f>
        <v>1216829.5705481097</v>
      </c>
      <c r="L190" s="273">
        <f>_xlfn.IFNA(VLOOKUP(A190,'Post 16'!A:AC,13,FALSE),0)+(_xlfn.IFNA(VLOOKUP(A190,'Post 16'!A:AC,25,FALSE),0))</f>
        <v>0</v>
      </c>
      <c r="M190" s="273">
        <f>VLOOKUP(A190,HN!A:P,16,FALSE)</f>
        <v>0</v>
      </c>
      <c r="N190" s="273">
        <f>VLOOKUP(A190,HN!A:T,20,FALSE)</f>
        <v>0</v>
      </c>
      <c r="O190" s="273">
        <f>VLOOKUP(A190,EY!A:O,15,FALSE)</f>
        <v>93480.7</v>
      </c>
      <c r="P190" s="273">
        <f>-VLOOKUP(A190,Adjustments!A:M,11,FALSE)</f>
        <v>-5139.75</v>
      </c>
      <c r="Q190" s="273"/>
      <c r="R190" s="273"/>
      <c r="S190" s="273">
        <f t="shared" si="23"/>
        <v>1305170.5205481097</v>
      </c>
      <c r="T190" s="37"/>
      <c r="U190" s="37">
        <v>108106.69546234247</v>
      </c>
      <c r="V190" s="37">
        <v>108106.69546234247</v>
      </c>
      <c r="W190" s="37">
        <v>108106.69546234247</v>
      </c>
      <c r="X190" s="37">
        <v>108983.38</v>
      </c>
      <c r="Y190" s="37">
        <v>108983.38</v>
      </c>
      <c r="Z190" s="37">
        <f t="shared" si="26"/>
        <v>108983.38177013528</v>
      </c>
      <c r="AA190" s="37">
        <f t="shared" si="25"/>
        <v>108983.38</v>
      </c>
      <c r="AB190" s="37">
        <f t="shared" si="25"/>
        <v>108983.38</v>
      </c>
      <c r="AC190" s="37">
        <f t="shared" si="25"/>
        <v>108983.38</v>
      </c>
      <c r="AD190" s="37">
        <f t="shared" si="25"/>
        <v>108983.38</v>
      </c>
      <c r="AE190" s="37">
        <f t="shared" si="25"/>
        <v>108983.38</v>
      </c>
      <c r="AF190" s="37">
        <f t="shared" si="20"/>
        <v>108983.39239094709</v>
      </c>
      <c r="AG190" s="37">
        <f t="shared" si="21"/>
        <v>1305170.5205481097</v>
      </c>
      <c r="AH190" s="37" t="b">
        <f t="shared" si="22"/>
        <v>1</v>
      </c>
      <c r="AI190" s="37"/>
      <c r="AJ190" s="37"/>
      <c r="AK190" s="37"/>
      <c r="AL190" s="37"/>
      <c r="AM190" s="37"/>
      <c r="AN190" s="37"/>
      <c r="AO190" s="37"/>
      <c r="AP190" s="207"/>
      <c r="AR190" s="37"/>
      <c r="AS190" s="37"/>
      <c r="AT190" s="37"/>
      <c r="AU190" s="37"/>
      <c r="AV190" s="37"/>
      <c r="AW190" s="37"/>
      <c r="AX190" s="37"/>
      <c r="AY190" s="37"/>
      <c r="AZ190" s="37"/>
      <c r="BA190" s="64"/>
    </row>
    <row r="191" spans="1:53">
      <c r="A191" s="231">
        <v>3328</v>
      </c>
      <c r="B191" s="4">
        <v>103430</v>
      </c>
      <c r="C191" s="4" t="s">
        <v>493</v>
      </c>
      <c r="D191" s="4" t="s">
        <v>494</v>
      </c>
      <c r="E191" s="213" t="s">
        <v>5</v>
      </c>
      <c r="F191" s="248" t="s">
        <v>415</v>
      </c>
      <c r="G191" s="37"/>
      <c r="H191" s="272">
        <f>_xlfn.IFNA(VLOOKUP(A191,ISB!$A$4:$BY$454,67,FALSE),0)</f>
        <v>1105303.4784847999</v>
      </c>
      <c r="I191" s="272">
        <f>_xlfn.IFNA(VLOOKUP(A191,ISB!$A$4:$BY$454,72,FALSE),0)</f>
        <v>-5214.5600000000004</v>
      </c>
      <c r="J191" s="273">
        <f>-_xlfn.IFNA(VLOOKUP(A191,ISB!$A$4:$BY$454,76,FALSE),0)</f>
        <v>-3471.4811</v>
      </c>
      <c r="K191" s="273">
        <f>_xlfn.IFNA(VLOOKUP(A191,ISB!$A$4:$BY$454,77,FALSE),0)</f>
        <v>1096617.4373847998</v>
      </c>
      <c r="L191" s="273">
        <f>_xlfn.IFNA(VLOOKUP(A191,'Post 16'!A:AC,13,FALSE),0)+(_xlfn.IFNA(VLOOKUP(A191,'Post 16'!A:AC,25,FALSE),0))</f>
        <v>0</v>
      </c>
      <c r="M191" s="273">
        <f>VLOOKUP(A191,HN!A:P,16,FALSE)</f>
        <v>0</v>
      </c>
      <c r="N191" s="273">
        <f>VLOOKUP(A191,HN!A:T,20,FALSE)</f>
        <v>0</v>
      </c>
      <c r="O191" s="273">
        <f>VLOOKUP(A191,EY!A:O,15,FALSE)</f>
        <v>61347.5</v>
      </c>
      <c r="P191" s="273">
        <f>-VLOOKUP(A191,Adjustments!A:M,11,FALSE)</f>
        <v>-5139.75</v>
      </c>
      <c r="Q191" s="273"/>
      <c r="R191" s="273"/>
      <c r="S191" s="273">
        <f t="shared" si="23"/>
        <v>1152825.1873847998</v>
      </c>
      <c r="T191" s="37"/>
      <c r="U191" s="37">
        <v>95611.144782066651</v>
      </c>
      <c r="V191" s="37">
        <v>95611.144782066651</v>
      </c>
      <c r="W191" s="37">
        <v>95611.144782066651</v>
      </c>
      <c r="X191" s="37">
        <v>96221.31</v>
      </c>
      <c r="Y191" s="37">
        <v>96221.31</v>
      </c>
      <c r="Z191" s="37">
        <f t="shared" si="26"/>
        <v>96221.305379824975</v>
      </c>
      <c r="AA191" s="37">
        <f t="shared" si="25"/>
        <v>96221.3</v>
      </c>
      <c r="AB191" s="37">
        <f t="shared" si="25"/>
        <v>96221.3</v>
      </c>
      <c r="AC191" s="37">
        <f t="shared" si="25"/>
        <v>96221.3</v>
      </c>
      <c r="AD191" s="37">
        <f t="shared" si="25"/>
        <v>96221.3</v>
      </c>
      <c r="AE191" s="37">
        <f t="shared" si="25"/>
        <v>96221.3</v>
      </c>
      <c r="AF191" s="37">
        <f t="shared" si="20"/>
        <v>96221.327658774797</v>
      </c>
      <c r="AG191" s="37">
        <f t="shared" si="21"/>
        <v>1152825.1873847998</v>
      </c>
      <c r="AH191" s="37" t="b">
        <f t="shared" si="22"/>
        <v>1</v>
      </c>
      <c r="AI191" s="37"/>
      <c r="AJ191" s="37"/>
      <c r="AK191" s="37"/>
      <c r="AL191" s="37"/>
      <c r="AM191" s="37"/>
      <c r="AN191" s="37"/>
      <c r="AO191" s="37"/>
      <c r="AP191" s="207"/>
      <c r="AR191" s="37"/>
      <c r="AS191" s="37"/>
      <c r="AT191" s="37"/>
      <c r="AU191" s="37"/>
      <c r="AV191" s="37"/>
      <c r="AW191" s="37"/>
      <c r="AX191" s="37"/>
      <c r="AY191" s="37"/>
      <c r="AZ191" s="37"/>
      <c r="BA191" s="64"/>
    </row>
    <row r="192" spans="1:53">
      <c r="A192" s="231">
        <v>2160</v>
      </c>
      <c r="B192" s="4">
        <v>103248</v>
      </c>
      <c r="C192" s="4" t="s">
        <v>496</v>
      </c>
      <c r="D192" s="4" t="s">
        <v>497</v>
      </c>
      <c r="E192" s="213" t="s">
        <v>5</v>
      </c>
      <c r="F192" s="248" t="s">
        <v>415</v>
      </c>
      <c r="G192" s="37"/>
      <c r="H192" s="272">
        <f>_xlfn.IFNA(VLOOKUP(A192,ISB!$A$4:$BY$454,67,FALSE),0)</f>
        <v>1882687.0986186194</v>
      </c>
      <c r="I192" s="272">
        <f>_xlfn.IFNA(VLOOKUP(A192,ISB!$A$4:$BY$454,72,FALSE),0)</f>
        <v>-8548.8700000000008</v>
      </c>
      <c r="J192" s="273">
        <f>-_xlfn.IFNA(VLOOKUP(A192,ISB!$A$4:$BY$454,76,FALSE),0)</f>
        <v>-26354.095000000001</v>
      </c>
      <c r="K192" s="273">
        <f>_xlfn.IFNA(VLOOKUP(A192,ISB!$A$4:$BY$454,77,FALSE),0)</f>
        <v>1847784.1336186193</v>
      </c>
      <c r="L192" s="273">
        <f>_xlfn.IFNA(VLOOKUP(A192,'Post 16'!A:AC,13,FALSE),0)+(_xlfn.IFNA(VLOOKUP(A192,'Post 16'!A:AC,25,FALSE),0))</f>
        <v>0</v>
      </c>
      <c r="M192" s="273">
        <f>VLOOKUP(A192,HN!A:P,16,FALSE)</f>
        <v>0</v>
      </c>
      <c r="N192" s="273">
        <f>VLOOKUP(A192,HN!A:T,20,FALSE)</f>
        <v>0</v>
      </c>
      <c r="O192" s="273">
        <f>VLOOKUP(A192,EY!A:O,15,FALSE)</f>
        <v>0</v>
      </c>
      <c r="P192" s="273">
        <f>-VLOOKUP(A192,Adjustments!A:M,11,FALSE)</f>
        <v>-9471</v>
      </c>
      <c r="Q192" s="273"/>
      <c r="R192" s="273"/>
      <c r="S192" s="273">
        <f t="shared" si="23"/>
        <v>1838313.1336186193</v>
      </c>
      <c r="T192" s="37"/>
      <c r="U192" s="37">
        <v>153192.76113488493</v>
      </c>
      <c r="V192" s="37">
        <v>153192.76113488493</v>
      </c>
      <c r="W192" s="37">
        <v>153192.76113488493</v>
      </c>
      <c r="X192" s="37">
        <v>153192.76</v>
      </c>
      <c r="Y192" s="37">
        <v>153192.76</v>
      </c>
      <c r="Z192" s="37">
        <f t="shared" si="26"/>
        <v>153192.76127674556</v>
      </c>
      <c r="AA192" s="37">
        <f t="shared" ref="AA192:AE219" si="27">ROUND((($S192-SUM($U192:$Y192))/7),2)</f>
        <v>153192.76</v>
      </c>
      <c r="AB192" s="37">
        <f t="shared" si="27"/>
        <v>153192.76</v>
      </c>
      <c r="AC192" s="37">
        <f t="shared" si="27"/>
        <v>153192.76</v>
      </c>
      <c r="AD192" s="37">
        <f t="shared" si="27"/>
        <v>153192.76</v>
      </c>
      <c r="AE192" s="37">
        <f t="shared" si="27"/>
        <v>153192.76</v>
      </c>
      <c r="AF192" s="37">
        <f t="shared" si="20"/>
        <v>153192.76893721893</v>
      </c>
      <c r="AG192" s="37">
        <f t="shared" si="21"/>
        <v>1838313.1336186193</v>
      </c>
      <c r="AH192" s="37" t="b">
        <f t="shared" si="22"/>
        <v>1</v>
      </c>
      <c r="AI192" s="37"/>
      <c r="AJ192" s="37"/>
      <c r="AK192" s="37"/>
      <c r="AL192" s="37"/>
      <c r="AM192" s="37"/>
      <c r="AN192" s="37"/>
      <c r="AO192" s="37"/>
      <c r="AP192" s="207"/>
      <c r="AR192" s="37"/>
      <c r="AS192" s="37"/>
      <c r="AT192" s="37"/>
      <c r="AU192" s="37"/>
      <c r="AV192" s="37"/>
      <c r="AW192" s="37"/>
      <c r="AX192" s="37"/>
      <c r="AY192" s="37"/>
      <c r="AZ192" s="37"/>
      <c r="BA192" s="64"/>
    </row>
    <row r="193" spans="1:53">
      <c r="A193" s="231">
        <v>2063</v>
      </c>
      <c r="B193" s="4">
        <v>103193</v>
      </c>
      <c r="C193" s="4" t="s">
        <v>499</v>
      </c>
      <c r="D193" s="4" t="s">
        <v>500</v>
      </c>
      <c r="E193" s="213" t="s">
        <v>5</v>
      </c>
      <c r="F193" s="248" t="s">
        <v>415</v>
      </c>
      <c r="G193" s="37"/>
      <c r="H193" s="272">
        <f>_xlfn.IFNA(VLOOKUP(A193,ISB!$A$4:$BY$454,67,FALSE),0)</f>
        <v>2440934.759272736</v>
      </c>
      <c r="I193" s="272">
        <f>_xlfn.IFNA(VLOOKUP(A193,ISB!$A$4:$BY$454,72,FALSE),0)</f>
        <v>-10203.49</v>
      </c>
      <c r="J193" s="273">
        <f>-_xlfn.IFNA(VLOOKUP(A193,ISB!$A$4:$BY$454,76,FALSE),0)</f>
        <v>-56709.657599999999</v>
      </c>
      <c r="K193" s="273">
        <f>_xlfn.IFNA(VLOOKUP(A193,ISB!$A$4:$BY$454,77,FALSE),0)</f>
        <v>2374021.6116727358</v>
      </c>
      <c r="L193" s="273">
        <f>_xlfn.IFNA(VLOOKUP(A193,'Post 16'!A:AC,13,FALSE),0)+(_xlfn.IFNA(VLOOKUP(A193,'Post 16'!A:AC,25,FALSE),0))</f>
        <v>0</v>
      </c>
      <c r="M193" s="273">
        <f>VLOOKUP(A193,HN!A:P,16,FALSE)</f>
        <v>0</v>
      </c>
      <c r="N193" s="273">
        <f>VLOOKUP(A193,HN!A:T,20,FALSE)</f>
        <v>0</v>
      </c>
      <c r="O193" s="273">
        <f>VLOOKUP(A193,EY!A:O,15,FALSE)</f>
        <v>104142.6</v>
      </c>
      <c r="P193" s="273">
        <f>-VLOOKUP(A193,Adjustments!A:M,11,FALSE)</f>
        <v>-9471</v>
      </c>
      <c r="Q193" s="273"/>
      <c r="R193" s="273"/>
      <c r="S193" s="273">
        <f t="shared" si="23"/>
        <v>2468693.2116727359</v>
      </c>
      <c r="T193" s="37"/>
      <c r="U193" s="37">
        <v>204241.14930606133</v>
      </c>
      <c r="V193" s="37">
        <v>204241.14930606133</v>
      </c>
      <c r="W193" s="37">
        <v>204241.14930606133</v>
      </c>
      <c r="X193" s="37">
        <v>206218.86</v>
      </c>
      <c r="Y193" s="37">
        <v>206218.86</v>
      </c>
      <c r="Z193" s="37">
        <f t="shared" si="26"/>
        <v>206218.86296931899</v>
      </c>
      <c r="AA193" s="37">
        <f t="shared" si="27"/>
        <v>206218.86</v>
      </c>
      <c r="AB193" s="37">
        <f t="shared" si="27"/>
        <v>206218.86</v>
      </c>
      <c r="AC193" s="37">
        <f t="shared" si="27"/>
        <v>206218.86</v>
      </c>
      <c r="AD193" s="37">
        <f t="shared" si="27"/>
        <v>206218.86</v>
      </c>
      <c r="AE193" s="37">
        <f t="shared" si="27"/>
        <v>206218.86</v>
      </c>
      <c r="AF193" s="37">
        <f t="shared" si="20"/>
        <v>206218.88078523334</v>
      </c>
      <c r="AG193" s="37">
        <f t="shared" si="21"/>
        <v>2468693.2116727359</v>
      </c>
      <c r="AH193" s="37" t="b">
        <f t="shared" si="22"/>
        <v>1</v>
      </c>
      <c r="AI193" s="37"/>
      <c r="AJ193" s="37"/>
      <c r="AK193" s="37"/>
      <c r="AL193" s="37"/>
      <c r="AM193" s="37"/>
      <c r="AN193" s="37"/>
      <c r="AO193" s="37"/>
      <c r="AP193" s="207"/>
      <c r="AR193" s="37"/>
      <c r="AS193" s="37"/>
      <c r="AT193" s="37"/>
      <c r="AU193" s="37"/>
      <c r="AV193" s="37"/>
      <c r="AW193" s="37"/>
      <c r="AX193" s="37"/>
      <c r="AY193" s="37"/>
      <c r="AZ193" s="37"/>
      <c r="BA193" s="64"/>
    </row>
    <row r="194" spans="1:53">
      <c r="A194" s="231">
        <v>2008</v>
      </c>
      <c r="B194" s="4">
        <v>103157</v>
      </c>
      <c r="C194" s="4" t="s">
        <v>502</v>
      </c>
      <c r="D194" s="4" t="s">
        <v>503</v>
      </c>
      <c r="E194" s="213" t="s">
        <v>5</v>
      </c>
      <c r="F194" s="248" t="s">
        <v>415</v>
      </c>
      <c r="G194" s="37"/>
      <c r="H194" s="272">
        <f>_xlfn.IFNA(VLOOKUP(A194,ISB!$A$4:$BY$454,67,FALSE),0)</f>
        <v>2356315.143525532</v>
      </c>
      <c r="I194" s="272">
        <f>_xlfn.IFNA(VLOOKUP(A194,ISB!$A$4:$BY$454,72,FALSE),0)</f>
        <v>-10629.68</v>
      </c>
      <c r="J194" s="273">
        <f>-_xlfn.IFNA(VLOOKUP(A194,ISB!$A$4:$BY$454,76,FALSE),0)</f>
        <v>-28884.8256</v>
      </c>
      <c r="K194" s="273">
        <f>_xlfn.IFNA(VLOOKUP(A194,ISB!$A$4:$BY$454,77,FALSE),0)</f>
        <v>2316800.6379255317</v>
      </c>
      <c r="L194" s="273">
        <f>_xlfn.IFNA(VLOOKUP(A194,'Post 16'!A:AC,13,FALSE),0)+(_xlfn.IFNA(VLOOKUP(A194,'Post 16'!A:AC,25,FALSE),0))</f>
        <v>0</v>
      </c>
      <c r="M194" s="273">
        <f>VLOOKUP(A194,HN!A:P,16,FALSE)</f>
        <v>0</v>
      </c>
      <c r="N194" s="273">
        <f>VLOOKUP(A194,HN!A:T,20,FALSE)</f>
        <v>0</v>
      </c>
      <c r="O194" s="273">
        <f>VLOOKUP(A194,EY!A:O,15,FALSE)</f>
        <v>182762.5</v>
      </c>
      <c r="P194" s="273">
        <f>-VLOOKUP(A194,Adjustments!A:M,11,FALSE)</f>
        <v>-9471</v>
      </c>
      <c r="Q194" s="273"/>
      <c r="R194" s="273"/>
      <c r="S194" s="273">
        <f t="shared" si="23"/>
        <v>2490092.1379255317</v>
      </c>
      <c r="T194" s="37"/>
      <c r="U194" s="37">
        <v>205759.42507712764</v>
      </c>
      <c r="V194" s="37">
        <v>205759.42507712764</v>
      </c>
      <c r="W194" s="37">
        <v>205759.42507712764</v>
      </c>
      <c r="X194" s="37">
        <v>208090.43</v>
      </c>
      <c r="Y194" s="37">
        <v>208090.43</v>
      </c>
      <c r="Z194" s="37">
        <f t="shared" si="26"/>
        <v>208090.42908676859</v>
      </c>
      <c r="AA194" s="37">
        <f t="shared" si="27"/>
        <v>208090.43</v>
      </c>
      <c r="AB194" s="37">
        <f t="shared" si="27"/>
        <v>208090.43</v>
      </c>
      <c r="AC194" s="37">
        <f t="shared" si="27"/>
        <v>208090.43</v>
      </c>
      <c r="AD194" s="37">
        <f t="shared" si="27"/>
        <v>208090.43</v>
      </c>
      <c r="AE194" s="37">
        <f t="shared" si="27"/>
        <v>208090.43</v>
      </c>
      <c r="AF194" s="37">
        <f t="shared" si="20"/>
        <v>208090.4236073806</v>
      </c>
      <c r="AG194" s="37">
        <f t="shared" si="21"/>
        <v>2490092.1379255317</v>
      </c>
      <c r="AH194" s="37" t="b">
        <f t="shared" si="22"/>
        <v>1</v>
      </c>
      <c r="AI194" s="37"/>
      <c r="AJ194" s="37"/>
      <c r="AK194" s="37"/>
      <c r="AL194" s="37"/>
      <c r="AM194" s="37"/>
      <c r="AN194" s="37"/>
      <c r="AO194" s="37"/>
      <c r="AP194" s="207"/>
      <c r="AR194" s="37"/>
      <c r="AS194" s="37"/>
      <c r="AT194" s="37"/>
      <c r="AU194" s="37"/>
      <c r="AV194" s="37"/>
      <c r="AW194" s="37"/>
      <c r="AX194" s="37"/>
      <c r="AY194" s="37"/>
      <c r="AZ194" s="37"/>
      <c r="BA194" s="64"/>
    </row>
    <row r="195" spans="1:53">
      <c r="A195" s="231">
        <v>2176</v>
      </c>
      <c r="B195" s="4">
        <v>103256</v>
      </c>
      <c r="C195" s="4" t="s">
        <v>505</v>
      </c>
      <c r="D195" s="4" t="s">
        <v>506</v>
      </c>
      <c r="E195" s="213" t="s">
        <v>5</v>
      </c>
      <c r="F195" s="248" t="s">
        <v>415</v>
      </c>
      <c r="G195" s="37"/>
      <c r="H195" s="272">
        <f>_xlfn.IFNA(VLOOKUP(A195,ISB!$A$4:$BY$454,67,FALSE),0)</f>
        <v>3613880.2240161081</v>
      </c>
      <c r="I195" s="272">
        <f>_xlfn.IFNA(VLOOKUP(A195,ISB!$A$4:$BY$454,72,FALSE),0)</f>
        <v>-16220.29</v>
      </c>
      <c r="J195" s="273">
        <f>-_xlfn.IFNA(VLOOKUP(A195,ISB!$A$4:$BY$454,76,FALSE),0)</f>
        <v>-62009.625599999999</v>
      </c>
      <c r="K195" s="273">
        <f>_xlfn.IFNA(VLOOKUP(A195,ISB!$A$4:$BY$454,77,FALSE),0)</f>
        <v>3535650.3084161081</v>
      </c>
      <c r="L195" s="273">
        <f>_xlfn.IFNA(VLOOKUP(A195,'Post 16'!A:AC,13,FALSE),0)+(_xlfn.IFNA(VLOOKUP(A195,'Post 16'!A:AC,25,FALSE),0))</f>
        <v>0</v>
      </c>
      <c r="M195" s="273">
        <f>VLOOKUP(A195,HN!A:P,16,FALSE)</f>
        <v>0</v>
      </c>
      <c r="N195" s="273">
        <f>VLOOKUP(A195,HN!A:T,20,FALSE)</f>
        <v>0</v>
      </c>
      <c r="O195" s="273">
        <f>VLOOKUP(A195,EY!A:O,15,FALSE)</f>
        <v>245120.8</v>
      </c>
      <c r="P195" s="273">
        <f>-VLOOKUP(A195,Adjustments!A:M,11,FALSE)</f>
        <v>-18745.650000000001</v>
      </c>
      <c r="Q195" s="273"/>
      <c r="R195" s="273"/>
      <c r="S195" s="273">
        <f t="shared" si="23"/>
        <v>3762025.458416108</v>
      </c>
      <c r="T195" s="37"/>
      <c r="U195" s="37">
        <v>310528.98679509235</v>
      </c>
      <c r="V195" s="37">
        <v>310528.98679509235</v>
      </c>
      <c r="W195" s="37">
        <v>310528.98679509235</v>
      </c>
      <c r="X195" s="37">
        <v>314493.17</v>
      </c>
      <c r="Y195" s="37">
        <v>314493.17</v>
      </c>
      <c r="Z195" s="37">
        <f t="shared" si="26"/>
        <v>314493.1660038539</v>
      </c>
      <c r="AA195" s="37">
        <f t="shared" si="27"/>
        <v>314493.17</v>
      </c>
      <c r="AB195" s="37">
        <f t="shared" si="27"/>
        <v>314493.17</v>
      </c>
      <c r="AC195" s="37">
        <f t="shared" si="27"/>
        <v>314493.17</v>
      </c>
      <c r="AD195" s="37">
        <f t="shared" si="27"/>
        <v>314493.17</v>
      </c>
      <c r="AE195" s="37">
        <f t="shared" si="27"/>
        <v>314493.17</v>
      </c>
      <c r="AF195" s="37">
        <f t="shared" si="20"/>
        <v>314493.14202697761</v>
      </c>
      <c r="AG195" s="37">
        <f t="shared" si="21"/>
        <v>3762025.458416108</v>
      </c>
      <c r="AH195" s="37" t="b">
        <f t="shared" si="22"/>
        <v>1</v>
      </c>
      <c r="AI195" s="37"/>
      <c r="AJ195" s="37"/>
      <c r="AK195" s="37"/>
      <c r="AL195" s="37"/>
      <c r="AM195" s="37"/>
      <c r="AN195" s="37"/>
      <c r="AO195" s="37"/>
      <c r="AP195" s="207"/>
      <c r="AR195" s="37"/>
      <c r="AS195" s="37"/>
      <c r="AT195" s="37"/>
      <c r="AU195" s="37"/>
      <c r="AV195" s="37"/>
      <c r="AW195" s="37"/>
      <c r="AX195" s="37"/>
      <c r="AY195" s="37"/>
      <c r="AZ195" s="37"/>
      <c r="BA195" s="64"/>
    </row>
    <row r="196" spans="1:53">
      <c r="A196" s="231">
        <v>3410</v>
      </c>
      <c r="B196" s="4">
        <v>103478</v>
      </c>
      <c r="C196" s="4" t="s">
        <v>508</v>
      </c>
      <c r="D196" s="4" t="s">
        <v>509</v>
      </c>
      <c r="E196" s="213" t="s">
        <v>5</v>
      </c>
      <c r="F196" s="248" t="s">
        <v>415</v>
      </c>
      <c r="G196" s="37"/>
      <c r="H196" s="272">
        <f>_xlfn.IFNA(VLOOKUP(A196,ISB!$A$4:$BY$454,67,FALSE),0)</f>
        <v>1139462.6154003984</v>
      </c>
      <c r="I196" s="272">
        <f>_xlfn.IFNA(VLOOKUP(A196,ISB!$A$4:$BY$454,72,FALSE),0)</f>
        <v>-5139.3500000000004</v>
      </c>
      <c r="J196" s="273">
        <f>-_xlfn.IFNA(VLOOKUP(A196,ISB!$A$4:$BY$454,76,FALSE),0)</f>
        <v>-3921.9722000000002</v>
      </c>
      <c r="K196" s="273">
        <f>_xlfn.IFNA(VLOOKUP(A196,ISB!$A$4:$BY$454,77,FALSE),0)</f>
        <v>1130401.2932003983</v>
      </c>
      <c r="L196" s="273">
        <f>_xlfn.IFNA(VLOOKUP(A196,'Post 16'!A:AC,13,FALSE),0)+(_xlfn.IFNA(VLOOKUP(A196,'Post 16'!A:AC,25,FALSE),0))</f>
        <v>0</v>
      </c>
      <c r="M196" s="273">
        <f>VLOOKUP(A196,HN!A:P,16,FALSE)</f>
        <v>0</v>
      </c>
      <c r="N196" s="273">
        <f>VLOOKUP(A196,HN!A:T,20,FALSE)</f>
        <v>0</v>
      </c>
      <c r="O196" s="273">
        <f>VLOOKUP(A196,EY!A:O,15,FALSE)</f>
        <v>0</v>
      </c>
      <c r="P196" s="273">
        <f>-VLOOKUP(A196,Adjustments!A:M,11,FALSE)</f>
        <v>-5139.75</v>
      </c>
      <c r="Q196" s="273"/>
      <c r="R196" s="273"/>
      <c r="S196" s="273">
        <f t="shared" si="23"/>
        <v>1125261.5432003983</v>
      </c>
      <c r="T196" s="37"/>
      <c r="U196" s="37">
        <v>93771.795266699861</v>
      </c>
      <c r="V196" s="37">
        <v>93771.795266699861</v>
      </c>
      <c r="W196" s="37">
        <v>93771.795266699861</v>
      </c>
      <c r="X196" s="37">
        <v>93771.8</v>
      </c>
      <c r="Y196" s="37">
        <v>93771.79</v>
      </c>
      <c r="Z196" s="37">
        <f t="shared" si="26"/>
        <v>93771.794675037352</v>
      </c>
      <c r="AA196" s="37">
        <f t="shared" si="27"/>
        <v>93771.8</v>
      </c>
      <c r="AB196" s="37">
        <f t="shared" si="27"/>
        <v>93771.8</v>
      </c>
      <c r="AC196" s="37">
        <f t="shared" si="27"/>
        <v>93771.8</v>
      </c>
      <c r="AD196" s="37">
        <f t="shared" si="27"/>
        <v>93771.8</v>
      </c>
      <c r="AE196" s="37">
        <f t="shared" si="27"/>
        <v>93771.8</v>
      </c>
      <c r="AF196" s="37">
        <f t="shared" si="20"/>
        <v>93771.772725261166</v>
      </c>
      <c r="AG196" s="37">
        <f t="shared" si="21"/>
        <v>1125261.5432003983</v>
      </c>
      <c r="AH196" s="37" t="b">
        <f t="shared" si="22"/>
        <v>1</v>
      </c>
      <c r="AI196" s="37"/>
      <c r="AJ196" s="37"/>
      <c r="AK196" s="37"/>
      <c r="AL196" s="37"/>
      <c r="AM196" s="37"/>
      <c r="AN196" s="37"/>
      <c r="AO196" s="37"/>
      <c r="AP196" s="207"/>
      <c r="AR196" s="37"/>
      <c r="AS196" s="37"/>
      <c r="AT196" s="37"/>
      <c r="AU196" s="37"/>
      <c r="AV196" s="37"/>
      <c r="AW196" s="37"/>
      <c r="AX196" s="37"/>
      <c r="AY196" s="37"/>
      <c r="AZ196" s="37"/>
      <c r="BA196" s="64"/>
    </row>
    <row r="197" spans="1:53">
      <c r="A197" s="231">
        <v>3380</v>
      </c>
      <c r="B197" s="4">
        <v>103465</v>
      </c>
      <c r="C197" s="4" t="s">
        <v>511</v>
      </c>
      <c r="D197" s="4" t="s">
        <v>512</v>
      </c>
      <c r="E197" s="213" t="s">
        <v>5</v>
      </c>
      <c r="F197" s="248" t="s">
        <v>415</v>
      </c>
      <c r="G197" s="37"/>
      <c r="H197" s="272">
        <f>_xlfn.IFNA(VLOOKUP(A197,ISB!$A$4:$BY$454,67,FALSE),0)</f>
        <v>1044492.5526485109</v>
      </c>
      <c r="I197" s="272">
        <f>_xlfn.IFNA(VLOOKUP(A197,ISB!$A$4:$BY$454,72,FALSE),0)</f>
        <v>-5189.49</v>
      </c>
      <c r="J197" s="273">
        <f>-_xlfn.IFNA(VLOOKUP(A197,ISB!$A$4:$BY$454,76,FALSE),0)</f>
        <v>-3338.9819000000002</v>
      </c>
      <c r="K197" s="273">
        <f>_xlfn.IFNA(VLOOKUP(A197,ISB!$A$4:$BY$454,77,FALSE),0)</f>
        <v>1035964.0807485109</v>
      </c>
      <c r="L197" s="273">
        <f>_xlfn.IFNA(VLOOKUP(A197,'Post 16'!A:AC,13,FALSE),0)+(_xlfn.IFNA(VLOOKUP(A197,'Post 16'!A:AC,25,FALSE),0))</f>
        <v>0</v>
      </c>
      <c r="M197" s="273">
        <f>VLOOKUP(A197,HN!A:P,16,FALSE)</f>
        <v>0</v>
      </c>
      <c r="N197" s="273">
        <f>VLOOKUP(A197,HN!A:T,20,FALSE)</f>
        <v>0</v>
      </c>
      <c r="O197" s="273">
        <f>VLOOKUP(A197,EY!A:O,15,FALSE)</f>
        <v>0</v>
      </c>
      <c r="P197" s="273">
        <f>-VLOOKUP(A197,Adjustments!A:M,11,FALSE)</f>
        <v>0</v>
      </c>
      <c r="Q197" s="273"/>
      <c r="R197" s="273"/>
      <c r="S197" s="273">
        <f t="shared" si="23"/>
        <v>1035964.0807485109</v>
      </c>
      <c r="T197" s="37"/>
      <c r="U197" s="37">
        <v>86330.340062375908</v>
      </c>
      <c r="V197" s="37">
        <v>86330.340062375908</v>
      </c>
      <c r="W197" s="37">
        <v>86330.340062375908</v>
      </c>
      <c r="X197" s="37">
        <v>86330.34</v>
      </c>
      <c r="Y197" s="37">
        <v>86330.34</v>
      </c>
      <c r="Z197" s="37">
        <f t="shared" si="26"/>
        <v>86330.340070172897</v>
      </c>
      <c r="AA197" s="37">
        <f t="shared" si="27"/>
        <v>86330.34</v>
      </c>
      <c r="AB197" s="37">
        <f t="shared" si="27"/>
        <v>86330.34</v>
      </c>
      <c r="AC197" s="37">
        <f t="shared" si="27"/>
        <v>86330.34</v>
      </c>
      <c r="AD197" s="37">
        <f t="shared" si="27"/>
        <v>86330.34</v>
      </c>
      <c r="AE197" s="37">
        <f t="shared" si="27"/>
        <v>86330.34</v>
      </c>
      <c r="AF197" s="37">
        <f t="shared" si="20"/>
        <v>86330.34049121046</v>
      </c>
      <c r="AG197" s="37">
        <f t="shared" si="21"/>
        <v>1035964.0807485109</v>
      </c>
      <c r="AH197" s="37" t="b">
        <f t="shared" si="22"/>
        <v>1</v>
      </c>
      <c r="AI197" s="37"/>
      <c r="AJ197" s="37"/>
      <c r="AK197" s="37"/>
      <c r="AL197" s="37"/>
      <c r="AM197" s="37"/>
      <c r="AN197" s="37"/>
      <c r="AO197" s="37"/>
      <c r="AP197" s="207"/>
      <c r="AR197" s="37"/>
      <c r="AS197" s="37"/>
      <c r="AT197" s="37"/>
      <c r="AU197" s="37"/>
      <c r="AV197" s="37"/>
      <c r="AW197" s="37"/>
      <c r="AX197" s="37"/>
      <c r="AY197" s="37"/>
      <c r="AZ197" s="37"/>
      <c r="BA197" s="64"/>
    </row>
    <row r="198" spans="1:53">
      <c r="A198" s="231">
        <v>3335</v>
      </c>
      <c r="B198" s="4">
        <v>103434</v>
      </c>
      <c r="C198" s="4" t="s">
        <v>514</v>
      </c>
      <c r="D198" s="4" t="s">
        <v>515</v>
      </c>
      <c r="E198" s="213" t="s">
        <v>5</v>
      </c>
      <c r="F198" s="248" t="s">
        <v>415</v>
      </c>
      <c r="G198" s="37"/>
      <c r="H198" s="272">
        <f>_xlfn.IFNA(VLOOKUP(A198,ISB!$A$4:$BY$454,67,FALSE),0)</f>
        <v>1286636.998042206</v>
      </c>
      <c r="I198" s="272">
        <f>_xlfn.IFNA(VLOOKUP(A198,ISB!$A$4:$BY$454,72,FALSE),0)</f>
        <v>-5139.3500000000004</v>
      </c>
      <c r="J198" s="273">
        <f>-_xlfn.IFNA(VLOOKUP(A198,ISB!$A$4:$BY$454,76,FALSE),0)</f>
        <v>-5246.9642000000003</v>
      </c>
      <c r="K198" s="273">
        <f>_xlfn.IFNA(VLOOKUP(A198,ISB!$A$4:$BY$454,77,FALSE),0)</f>
        <v>1276250.6838422059</v>
      </c>
      <c r="L198" s="273">
        <f>_xlfn.IFNA(VLOOKUP(A198,'Post 16'!A:AC,13,FALSE),0)+(_xlfn.IFNA(VLOOKUP(A198,'Post 16'!A:AC,25,FALSE),0))</f>
        <v>0</v>
      </c>
      <c r="M198" s="273">
        <f>VLOOKUP(A198,HN!A:P,16,FALSE)</f>
        <v>0</v>
      </c>
      <c r="N198" s="273">
        <f>VLOOKUP(A198,HN!A:T,20,FALSE)</f>
        <v>0</v>
      </c>
      <c r="O198" s="273">
        <f>VLOOKUP(A198,EY!A:O,15,FALSE)</f>
        <v>0</v>
      </c>
      <c r="P198" s="273">
        <f>-VLOOKUP(A198,Adjustments!A:M,11,FALSE)</f>
        <v>-5139.75</v>
      </c>
      <c r="Q198" s="273"/>
      <c r="R198" s="273"/>
      <c r="S198" s="273">
        <f t="shared" si="23"/>
        <v>1271110.9338422059</v>
      </c>
      <c r="T198" s="37"/>
      <c r="U198" s="37">
        <v>105925.91115351715</v>
      </c>
      <c r="V198" s="37">
        <v>105925.91115351715</v>
      </c>
      <c r="W198" s="37">
        <v>105925.91115351715</v>
      </c>
      <c r="X198" s="37">
        <v>105925.91</v>
      </c>
      <c r="Y198" s="37">
        <v>105925.91</v>
      </c>
      <c r="Z198" s="37">
        <f t="shared" si="26"/>
        <v>105925.9112977068</v>
      </c>
      <c r="AA198" s="37">
        <f t="shared" si="27"/>
        <v>105925.91</v>
      </c>
      <c r="AB198" s="37">
        <f t="shared" si="27"/>
        <v>105925.91</v>
      </c>
      <c r="AC198" s="37">
        <f t="shared" si="27"/>
        <v>105925.91</v>
      </c>
      <c r="AD198" s="37">
        <f t="shared" si="27"/>
        <v>105925.91</v>
      </c>
      <c r="AE198" s="37">
        <f t="shared" si="27"/>
        <v>105925.91</v>
      </c>
      <c r="AF198" s="37">
        <f t="shared" si="20"/>
        <v>105925.91908394755</v>
      </c>
      <c r="AG198" s="37">
        <f t="shared" si="21"/>
        <v>1271110.9338422059</v>
      </c>
      <c r="AH198" s="37" t="b">
        <f t="shared" si="22"/>
        <v>1</v>
      </c>
      <c r="AI198" s="37"/>
      <c r="AJ198" s="37"/>
      <c r="AK198" s="37"/>
      <c r="AL198" s="37"/>
      <c r="AM198" s="37"/>
      <c r="AN198" s="37"/>
      <c r="AO198" s="37"/>
      <c r="AP198" s="207"/>
      <c r="AR198" s="37"/>
      <c r="AS198" s="37"/>
      <c r="AT198" s="37"/>
      <c r="AU198" s="37"/>
      <c r="AV198" s="37"/>
      <c r="AW198" s="37"/>
      <c r="AX198" s="37"/>
      <c r="AY198" s="37"/>
      <c r="AZ198" s="37"/>
      <c r="BA198" s="64"/>
    </row>
    <row r="199" spans="1:53">
      <c r="A199" s="231">
        <v>3372</v>
      </c>
      <c r="B199" s="4">
        <v>103460</v>
      </c>
      <c r="C199" s="4" t="s">
        <v>517</v>
      </c>
      <c r="D199" s="4" t="s">
        <v>518</v>
      </c>
      <c r="E199" s="213" t="s">
        <v>5</v>
      </c>
      <c r="F199" s="248" t="s">
        <v>415</v>
      </c>
      <c r="G199" s="37"/>
      <c r="H199" s="272">
        <f>_xlfn.IFNA(VLOOKUP(A199,ISB!$A$4:$BY$454,67,FALSE),0)</f>
        <v>3073186.2653506263</v>
      </c>
      <c r="I199" s="272">
        <f>_xlfn.IFNA(VLOOKUP(A199,ISB!$A$4:$BY$454,72,FALSE),0)</f>
        <v>-14415.25</v>
      </c>
      <c r="J199" s="273">
        <f>-_xlfn.IFNA(VLOOKUP(A199,ISB!$A$4:$BY$454,76,FALSE),0)</f>
        <v>-5776.9610000000002</v>
      </c>
      <c r="K199" s="273">
        <f>_xlfn.IFNA(VLOOKUP(A199,ISB!$A$4:$BY$454,77,FALSE),0)</f>
        <v>3052994.0543506262</v>
      </c>
      <c r="L199" s="273">
        <f>_xlfn.IFNA(VLOOKUP(A199,'Post 16'!A:AC,13,FALSE),0)+(_xlfn.IFNA(VLOOKUP(A199,'Post 16'!A:AC,25,FALSE),0))</f>
        <v>0</v>
      </c>
      <c r="M199" s="273">
        <f>VLOOKUP(A199,HN!A:P,16,FALSE)</f>
        <v>0</v>
      </c>
      <c r="N199" s="273">
        <f>VLOOKUP(A199,HN!A:T,20,FALSE)</f>
        <v>0</v>
      </c>
      <c r="O199" s="273">
        <f>VLOOKUP(A199,EY!A:O,15,FALSE)</f>
        <v>210543.19999999995</v>
      </c>
      <c r="P199" s="273">
        <f>-VLOOKUP(A199,Adjustments!A:M,11,FALSE)</f>
        <v>0</v>
      </c>
      <c r="Q199" s="273"/>
      <c r="R199" s="273"/>
      <c r="S199" s="273">
        <f t="shared" si="23"/>
        <v>3263537.2543506259</v>
      </c>
      <c r="T199" s="37"/>
      <c r="U199" s="37">
        <v>271701.12511745415</v>
      </c>
      <c r="V199" s="37">
        <v>271701.12511745415</v>
      </c>
      <c r="W199" s="37">
        <v>271701.12511745415</v>
      </c>
      <c r="X199" s="37">
        <v>272048.21000000002</v>
      </c>
      <c r="Y199" s="37">
        <v>272048.21000000002</v>
      </c>
      <c r="Z199" s="37">
        <f t="shared" si="26"/>
        <v>272048.20862478297</v>
      </c>
      <c r="AA199" s="37">
        <f t="shared" si="27"/>
        <v>272048.21000000002</v>
      </c>
      <c r="AB199" s="37">
        <f t="shared" si="27"/>
        <v>272048.21000000002</v>
      </c>
      <c r="AC199" s="37">
        <f t="shared" si="27"/>
        <v>272048.21000000002</v>
      </c>
      <c r="AD199" s="37">
        <f t="shared" si="27"/>
        <v>272048.21000000002</v>
      </c>
      <c r="AE199" s="37">
        <f t="shared" si="27"/>
        <v>272048.21000000002</v>
      </c>
      <c r="AF199" s="37">
        <f t="shared" si="20"/>
        <v>272048.20037348056</v>
      </c>
      <c r="AG199" s="37">
        <f t="shared" si="21"/>
        <v>3263537.2543506259</v>
      </c>
      <c r="AH199" s="37" t="b">
        <f t="shared" si="22"/>
        <v>1</v>
      </c>
      <c r="AI199" s="37"/>
      <c r="AJ199" s="37"/>
      <c r="AK199" s="37"/>
      <c r="AL199" s="37"/>
      <c r="AM199" s="37"/>
      <c r="AN199" s="37"/>
      <c r="AO199" s="37"/>
      <c r="AP199" s="207"/>
      <c r="AR199" s="37"/>
      <c r="AS199" s="37"/>
      <c r="AT199" s="37"/>
      <c r="AU199" s="37"/>
      <c r="AV199" s="37"/>
      <c r="AW199" s="37"/>
      <c r="AX199" s="37"/>
      <c r="AY199" s="37"/>
      <c r="AZ199" s="37"/>
      <c r="BA199" s="64"/>
    </row>
    <row r="200" spans="1:53">
      <c r="A200" s="231">
        <v>3355</v>
      </c>
      <c r="B200" s="4">
        <v>103447</v>
      </c>
      <c r="C200" s="4" t="s">
        <v>520</v>
      </c>
      <c r="D200" s="4" t="s">
        <v>521</v>
      </c>
      <c r="E200" s="213" t="s">
        <v>5</v>
      </c>
      <c r="F200" s="248" t="s">
        <v>415</v>
      </c>
      <c r="G200" s="37"/>
      <c r="H200" s="272">
        <f>_xlfn.IFNA(VLOOKUP(A200,ISB!$A$4:$BY$454,67,FALSE),0)</f>
        <v>2033589.0575631741</v>
      </c>
      <c r="I200" s="272">
        <f>_xlfn.IFNA(VLOOKUP(A200,ISB!$A$4:$BY$454,72,FALSE),0)</f>
        <v>-10278.700000000001</v>
      </c>
      <c r="J200" s="273">
        <f>-_xlfn.IFNA(VLOOKUP(A200,ISB!$A$4:$BY$454,76,FALSE),0)</f>
        <v>-6200.9605000000001</v>
      </c>
      <c r="K200" s="273">
        <f>_xlfn.IFNA(VLOOKUP(A200,ISB!$A$4:$BY$454,77,FALSE),0)</f>
        <v>2017109.3970631741</v>
      </c>
      <c r="L200" s="273">
        <f>_xlfn.IFNA(VLOOKUP(A200,'Post 16'!A:AC,13,FALSE),0)+(_xlfn.IFNA(VLOOKUP(A200,'Post 16'!A:AC,25,FALSE),0))</f>
        <v>0</v>
      </c>
      <c r="M200" s="273">
        <f>VLOOKUP(A200,HN!A:P,16,FALSE)</f>
        <v>0</v>
      </c>
      <c r="N200" s="273">
        <f>VLOOKUP(A200,HN!A:T,20,FALSE)</f>
        <v>0</v>
      </c>
      <c r="O200" s="273">
        <f>VLOOKUP(A200,EY!A:O,15,FALSE)</f>
        <v>0</v>
      </c>
      <c r="P200" s="273">
        <f>-VLOOKUP(A200,Adjustments!A:M,11,FALSE)</f>
        <v>-9471</v>
      </c>
      <c r="Q200" s="273"/>
      <c r="R200" s="273"/>
      <c r="S200" s="273">
        <f t="shared" si="23"/>
        <v>2007638.3970631741</v>
      </c>
      <c r="T200" s="37"/>
      <c r="U200" s="37">
        <v>167303.1997552645</v>
      </c>
      <c r="V200" s="37">
        <v>167303.1997552645</v>
      </c>
      <c r="W200" s="37">
        <v>167303.1997552645</v>
      </c>
      <c r="X200" s="37">
        <v>167303.20000000001</v>
      </c>
      <c r="Y200" s="37">
        <v>167303.20000000001</v>
      </c>
      <c r="Z200" s="37">
        <f t="shared" si="26"/>
        <v>167303.19972467257</v>
      </c>
      <c r="AA200" s="37">
        <f t="shared" si="27"/>
        <v>167303.20000000001</v>
      </c>
      <c r="AB200" s="37">
        <f t="shared" si="27"/>
        <v>167303.20000000001</v>
      </c>
      <c r="AC200" s="37">
        <f t="shared" si="27"/>
        <v>167303.20000000001</v>
      </c>
      <c r="AD200" s="37">
        <f t="shared" si="27"/>
        <v>167303.20000000001</v>
      </c>
      <c r="AE200" s="37">
        <f t="shared" si="27"/>
        <v>167303.20000000001</v>
      </c>
      <c r="AF200" s="37">
        <f t="shared" si="20"/>
        <v>167303.19807270821</v>
      </c>
      <c r="AG200" s="37">
        <f t="shared" si="21"/>
        <v>2007638.3970631741</v>
      </c>
      <c r="AH200" s="37" t="b">
        <f t="shared" si="22"/>
        <v>1</v>
      </c>
      <c r="AI200" s="37"/>
      <c r="AJ200" s="37"/>
      <c r="AK200" s="37"/>
      <c r="AL200" s="37"/>
      <c r="AM200" s="37"/>
      <c r="AN200" s="37"/>
      <c r="AO200" s="37"/>
      <c r="AP200" s="207"/>
      <c r="AR200" s="37"/>
      <c r="AS200" s="37"/>
      <c r="AT200" s="37"/>
      <c r="AU200" s="37"/>
      <c r="AV200" s="37"/>
      <c r="AW200" s="37"/>
      <c r="AX200" s="37"/>
      <c r="AY200" s="37"/>
      <c r="AZ200" s="37"/>
      <c r="BA200" s="64"/>
    </row>
    <row r="201" spans="1:53">
      <c r="A201" s="231">
        <v>3367</v>
      </c>
      <c r="B201" s="4">
        <v>103458</v>
      </c>
      <c r="C201" s="4" t="s">
        <v>523</v>
      </c>
      <c r="D201" s="4" t="s">
        <v>524</v>
      </c>
      <c r="E201" s="213" t="s">
        <v>5</v>
      </c>
      <c r="F201" s="248" t="s">
        <v>415</v>
      </c>
      <c r="G201" s="37"/>
      <c r="H201" s="272">
        <f>_xlfn.IFNA(VLOOKUP(A201,ISB!$A$4:$BY$454,67,FALSE),0)</f>
        <v>1142946.6693946486</v>
      </c>
      <c r="I201" s="272">
        <f>_xlfn.IFNA(VLOOKUP(A201,ISB!$A$4:$BY$454,72,FALSE),0)</f>
        <v>-5164.42</v>
      </c>
      <c r="J201" s="273">
        <f>-_xlfn.IFNA(VLOOKUP(A201,ISB!$A$4:$BY$454,76,FALSE),0)</f>
        <v>-3141.8193000000001</v>
      </c>
      <c r="K201" s="273">
        <f>_xlfn.IFNA(VLOOKUP(A201,ISB!$A$4:$BY$454,77,FALSE),0)</f>
        <v>1134640.4300946486</v>
      </c>
      <c r="L201" s="273">
        <f>_xlfn.IFNA(VLOOKUP(A201,'Post 16'!A:AC,13,FALSE),0)+(_xlfn.IFNA(VLOOKUP(A201,'Post 16'!A:AC,25,FALSE),0))</f>
        <v>0</v>
      </c>
      <c r="M201" s="273">
        <f>VLOOKUP(A201,HN!A:P,16,FALSE)</f>
        <v>0</v>
      </c>
      <c r="N201" s="273">
        <f>VLOOKUP(A201,HN!A:T,20,FALSE)</f>
        <v>0</v>
      </c>
      <c r="O201" s="273">
        <f>VLOOKUP(A201,EY!A:O,15,FALSE)</f>
        <v>125703.10000000002</v>
      </c>
      <c r="P201" s="273">
        <f>-VLOOKUP(A201,Adjustments!A:M,11,FALSE)</f>
        <v>-5139.75</v>
      </c>
      <c r="Q201" s="273"/>
      <c r="R201" s="273"/>
      <c r="S201" s="273">
        <f t="shared" si="23"/>
        <v>1255203.7800946487</v>
      </c>
      <c r="T201" s="37"/>
      <c r="U201" s="37">
        <v>103085.81200788739</v>
      </c>
      <c r="V201" s="37">
        <v>103085.81200788739</v>
      </c>
      <c r="W201" s="37">
        <v>103085.81200788739</v>
      </c>
      <c r="X201" s="37">
        <v>105105.15</v>
      </c>
      <c r="Y201" s="37">
        <v>105105.15</v>
      </c>
      <c r="Z201" s="37">
        <f t="shared" si="26"/>
        <v>105105.14925887332</v>
      </c>
      <c r="AA201" s="37">
        <f t="shared" si="27"/>
        <v>105105.15</v>
      </c>
      <c r="AB201" s="37">
        <f t="shared" si="27"/>
        <v>105105.15</v>
      </c>
      <c r="AC201" s="37">
        <f t="shared" si="27"/>
        <v>105105.15</v>
      </c>
      <c r="AD201" s="37">
        <f t="shared" si="27"/>
        <v>105105.15</v>
      </c>
      <c r="AE201" s="37">
        <f t="shared" si="27"/>
        <v>105105.15</v>
      </c>
      <c r="AF201" s="37">
        <f t="shared" si="20"/>
        <v>105105.14481211314</v>
      </c>
      <c r="AG201" s="37">
        <f t="shared" si="21"/>
        <v>1255203.7800946487</v>
      </c>
      <c r="AH201" s="37" t="b">
        <f t="shared" si="22"/>
        <v>1</v>
      </c>
      <c r="AI201" s="37"/>
      <c r="AJ201" s="37"/>
      <c r="AK201" s="37"/>
      <c r="AL201" s="37"/>
      <c r="AM201" s="37"/>
      <c r="AN201" s="37"/>
      <c r="AO201" s="37"/>
      <c r="AP201" s="207"/>
      <c r="AR201" s="37"/>
      <c r="AS201" s="37"/>
      <c r="AT201" s="37"/>
      <c r="AU201" s="37"/>
      <c r="AV201" s="37"/>
      <c r="AW201" s="37"/>
      <c r="AX201" s="37"/>
      <c r="AY201" s="37"/>
      <c r="AZ201" s="37"/>
      <c r="BA201" s="64"/>
    </row>
    <row r="202" spans="1:53">
      <c r="A202" s="231">
        <v>3361</v>
      </c>
      <c r="B202" s="4">
        <v>103453</v>
      </c>
      <c r="C202" s="4" t="s">
        <v>526</v>
      </c>
      <c r="D202" s="4" t="s">
        <v>527</v>
      </c>
      <c r="E202" s="213" t="s">
        <v>5</v>
      </c>
      <c r="F202" s="248" t="s">
        <v>415</v>
      </c>
      <c r="G202" s="37"/>
      <c r="H202" s="272">
        <f>_xlfn.IFNA(VLOOKUP(A202,ISB!$A$4:$BY$454,67,FALSE),0)</f>
        <v>1854900.1721921912</v>
      </c>
      <c r="I202" s="272">
        <f>_xlfn.IFNA(VLOOKUP(A202,ISB!$A$4:$BY$454,72,FALSE),0)</f>
        <v>-8674.2199999999993</v>
      </c>
      <c r="J202" s="273">
        <f>-_xlfn.IFNA(VLOOKUP(A202,ISB!$A$4:$BY$454,76,FALSE),0)</f>
        <v>-6942.9621999999999</v>
      </c>
      <c r="K202" s="273">
        <f>_xlfn.IFNA(VLOOKUP(A202,ISB!$A$4:$BY$454,77,FALSE),0)</f>
        <v>1839282.9899921913</v>
      </c>
      <c r="L202" s="273">
        <f>_xlfn.IFNA(VLOOKUP(A202,'Post 16'!A:AC,13,FALSE),0)+(_xlfn.IFNA(VLOOKUP(A202,'Post 16'!A:AC,25,FALSE),0))</f>
        <v>0</v>
      </c>
      <c r="M202" s="273">
        <f>VLOOKUP(A202,HN!A:P,16,FALSE)</f>
        <v>0</v>
      </c>
      <c r="N202" s="273">
        <f>VLOOKUP(A202,HN!A:T,20,FALSE)</f>
        <v>0</v>
      </c>
      <c r="O202" s="273">
        <f>VLOOKUP(A202,EY!A:O,15,FALSE)</f>
        <v>100216.79999999999</v>
      </c>
      <c r="P202" s="273">
        <f>-VLOOKUP(A202,Adjustments!A:M,11,FALSE)</f>
        <v>-9471</v>
      </c>
      <c r="Q202" s="273"/>
      <c r="R202" s="273"/>
      <c r="S202" s="273">
        <f t="shared" si="23"/>
        <v>1930028.7899921914</v>
      </c>
      <c r="T202" s="37"/>
      <c r="U202" s="37">
        <v>159682.67694379372</v>
      </c>
      <c r="V202" s="37">
        <v>159682.67694379372</v>
      </c>
      <c r="W202" s="37">
        <v>159682.67694379372</v>
      </c>
      <c r="X202" s="37">
        <v>161220.07999999999</v>
      </c>
      <c r="Y202" s="37">
        <v>161220.07999999999</v>
      </c>
      <c r="Z202" s="37">
        <f t="shared" si="26"/>
        <v>161220.08489510126</v>
      </c>
      <c r="AA202" s="37">
        <f t="shared" si="27"/>
        <v>161220.09</v>
      </c>
      <c r="AB202" s="37">
        <f t="shared" si="27"/>
        <v>161220.09</v>
      </c>
      <c r="AC202" s="37">
        <f t="shared" si="27"/>
        <v>161220.09</v>
      </c>
      <c r="AD202" s="37">
        <f t="shared" si="27"/>
        <v>161220.09</v>
      </c>
      <c r="AE202" s="37">
        <f t="shared" si="27"/>
        <v>161220.09</v>
      </c>
      <c r="AF202" s="37">
        <f t="shared" ref="AF202:AF219" si="28">($S202-SUM($U202:$AE202))/1</f>
        <v>161220.06426570867</v>
      </c>
      <c r="AG202" s="37">
        <f t="shared" ref="AG202:AG219" si="29">SUM(U202:AF202)</f>
        <v>1930028.7899921914</v>
      </c>
      <c r="AH202" s="37" t="b">
        <f t="shared" ref="AH202:AH219" si="30">IF(AG202=S202,TRUE,FALSE)</f>
        <v>1</v>
      </c>
      <c r="AI202" s="37"/>
      <c r="AJ202" s="37"/>
      <c r="AK202" s="37"/>
      <c r="AL202" s="37"/>
      <c r="AM202" s="37"/>
      <c r="AN202" s="37"/>
      <c r="AO202" s="37"/>
      <c r="AP202" s="207"/>
      <c r="AR202" s="37"/>
      <c r="AS202" s="37"/>
      <c r="AT202" s="37"/>
      <c r="AU202" s="37"/>
      <c r="AV202" s="37"/>
      <c r="AW202" s="37"/>
      <c r="AX202" s="37"/>
      <c r="AY202" s="37"/>
      <c r="AZ202" s="37"/>
      <c r="BA202" s="64"/>
    </row>
    <row r="203" spans="1:53">
      <c r="A203" s="231">
        <v>3344</v>
      </c>
      <c r="B203" s="4">
        <v>103438</v>
      </c>
      <c r="C203" s="4" t="s">
        <v>529</v>
      </c>
      <c r="D203" s="4" t="s">
        <v>530</v>
      </c>
      <c r="E203" s="213" t="s">
        <v>5</v>
      </c>
      <c r="F203" s="248" t="s">
        <v>415</v>
      </c>
      <c r="G203" s="37"/>
      <c r="H203" s="272">
        <f>_xlfn.IFNA(VLOOKUP(A203,ISB!$A$4:$BY$454,67,FALSE),0)</f>
        <v>1988189.2001935667</v>
      </c>
      <c r="I203" s="272">
        <f>_xlfn.IFNA(VLOOKUP(A203,ISB!$A$4:$BY$454,72,FALSE),0)</f>
        <v>-10429.120000000001</v>
      </c>
      <c r="J203" s="273">
        <f>-_xlfn.IFNA(VLOOKUP(A203,ISB!$A$4:$BY$454,76,FALSE),0)</f>
        <v>-3047.4816000000001</v>
      </c>
      <c r="K203" s="273">
        <f>_xlfn.IFNA(VLOOKUP(A203,ISB!$A$4:$BY$454,77,FALSE),0)</f>
        <v>1974712.5985935666</v>
      </c>
      <c r="L203" s="273">
        <f>_xlfn.IFNA(VLOOKUP(A203,'Post 16'!A:AC,13,FALSE),0)+(_xlfn.IFNA(VLOOKUP(A203,'Post 16'!A:AC,25,FALSE),0))</f>
        <v>0</v>
      </c>
      <c r="M203" s="273">
        <f>VLOOKUP(A203,HN!A:P,16,FALSE)</f>
        <v>0</v>
      </c>
      <c r="N203" s="273">
        <f>VLOOKUP(A203,HN!A:T,20,FALSE)</f>
        <v>0</v>
      </c>
      <c r="O203" s="273">
        <f>VLOOKUP(A203,EY!A:O,15,FALSE)</f>
        <v>0</v>
      </c>
      <c r="P203" s="273">
        <f>-VLOOKUP(A203,Adjustments!A:M,11,FALSE)</f>
        <v>-9471</v>
      </c>
      <c r="Q203" s="273"/>
      <c r="R203" s="273"/>
      <c r="S203" s="273">
        <f t="shared" ref="S203:S219" si="31">SUM(K203:R203)</f>
        <v>1965241.5985935666</v>
      </c>
      <c r="T203" s="37"/>
      <c r="U203" s="37">
        <v>163770.13321613055</v>
      </c>
      <c r="V203" s="37">
        <v>163770.13321613055</v>
      </c>
      <c r="W203" s="37">
        <v>163770.13321613055</v>
      </c>
      <c r="X203" s="37">
        <v>163770.13</v>
      </c>
      <c r="Y203" s="37">
        <v>163770.13</v>
      </c>
      <c r="Z203" s="37">
        <f t="shared" si="26"/>
        <v>163770.13361814688</v>
      </c>
      <c r="AA203" s="37">
        <f t="shared" si="27"/>
        <v>163770.13</v>
      </c>
      <c r="AB203" s="37">
        <f t="shared" si="27"/>
        <v>163770.13</v>
      </c>
      <c r="AC203" s="37">
        <f t="shared" si="27"/>
        <v>163770.13</v>
      </c>
      <c r="AD203" s="37">
        <f t="shared" si="27"/>
        <v>163770.13</v>
      </c>
      <c r="AE203" s="37">
        <f t="shared" si="27"/>
        <v>163770.13</v>
      </c>
      <c r="AF203" s="37">
        <f t="shared" si="28"/>
        <v>163770.15532702859</v>
      </c>
      <c r="AG203" s="37">
        <f t="shared" si="29"/>
        <v>1965241.5985935666</v>
      </c>
      <c r="AH203" s="37" t="b">
        <f t="shared" si="30"/>
        <v>1</v>
      </c>
      <c r="AI203" s="37"/>
      <c r="AJ203" s="37"/>
      <c r="AK203" s="37"/>
      <c r="AL203" s="37"/>
      <c r="AM203" s="37"/>
      <c r="AN203" s="37"/>
      <c r="AO203" s="37"/>
      <c r="AP203" s="207"/>
      <c r="AR203" s="37"/>
      <c r="AS203" s="37"/>
      <c r="AT203" s="37"/>
      <c r="AU203" s="37"/>
      <c r="AV203" s="37"/>
      <c r="AW203" s="37"/>
      <c r="AX203" s="37"/>
      <c r="AY203" s="37"/>
      <c r="AZ203" s="37"/>
      <c r="BA203" s="64"/>
    </row>
    <row r="204" spans="1:53">
      <c r="A204" s="231">
        <v>3385</v>
      </c>
      <c r="B204" s="4">
        <v>103469</v>
      </c>
      <c r="C204" s="4" t="s">
        <v>532</v>
      </c>
      <c r="D204" s="4" t="s">
        <v>533</v>
      </c>
      <c r="E204" s="213" t="s">
        <v>5</v>
      </c>
      <c r="F204" s="248" t="s">
        <v>415</v>
      </c>
      <c r="G204" s="37"/>
      <c r="H204" s="272">
        <f>_xlfn.IFNA(VLOOKUP(A204,ISB!$A$4:$BY$454,67,FALSE),0)</f>
        <v>1185538.1832342802</v>
      </c>
      <c r="I204" s="272">
        <f>_xlfn.IFNA(VLOOKUP(A204,ISB!$A$4:$BY$454,72,FALSE),0)</f>
        <v>-5264.7</v>
      </c>
      <c r="J204" s="273">
        <f>-_xlfn.IFNA(VLOOKUP(A204,ISB!$A$4:$BY$454,76,FALSE),0)</f>
        <v>-8409.1980999999996</v>
      </c>
      <c r="K204" s="273">
        <f>_xlfn.IFNA(VLOOKUP(A204,ISB!$A$4:$BY$454,77,FALSE),0)</f>
        <v>1171864.2851342803</v>
      </c>
      <c r="L204" s="273">
        <f>_xlfn.IFNA(VLOOKUP(A204,'Post 16'!A:AC,13,FALSE),0)+(_xlfn.IFNA(VLOOKUP(A204,'Post 16'!A:AC,25,FALSE),0))</f>
        <v>0</v>
      </c>
      <c r="M204" s="273">
        <f>VLOOKUP(A204,HN!A:P,16,FALSE)</f>
        <v>0</v>
      </c>
      <c r="N204" s="273">
        <f>VLOOKUP(A204,HN!A:T,20,FALSE)</f>
        <v>0</v>
      </c>
      <c r="O204" s="273">
        <f>VLOOKUP(A204,EY!A:O,15,FALSE)</f>
        <v>0</v>
      </c>
      <c r="P204" s="273">
        <f>-VLOOKUP(A204,Adjustments!A:M,11,FALSE)</f>
        <v>0</v>
      </c>
      <c r="Q204" s="273"/>
      <c r="R204" s="273"/>
      <c r="S204" s="273">
        <f t="shared" si="31"/>
        <v>1171864.2851342803</v>
      </c>
      <c r="T204" s="37"/>
      <c r="U204" s="37">
        <v>97655.357094523366</v>
      </c>
      <c r="V204" s="37">
        <v>97655.357094523366</v>
      </c>
      <c r="W204" s="37">
        <v>97655.357094523366</v>
      </c>
      <c r="X204" s="37">
        <v>97655.360000000001</v>
      </c>
      <c r="Y204" s="37">
        <v>97655.360000000001</v>
      </c>
      <c r="Z204" s="37">
        <f t="shared" si="26"/>
        <v>97655.356731338776</v>
      </c>
      <c r="AA204" s="37">
        <f t="shared" si="27"/>
        <v>97655.360000000001</v>
      </c>
      <c r="AB204" s="37">
        <f t="shared" si="27"/>
        <v>97655.360000000001</v>
      </c>
      <c r="AC204" s="37">
        <f t="shared" si="27"/>
        <v>97655.360000000001</v>
      </c>
      <c r="AD204" s="37">
        <f t="shared" si="27"/>
        <v>97655.360000000001</v>
      </c>
      <c r="AE204" s="37">
        <f t="shared" si="27"/>
        <v>97655.360000000001</v>
      </c>
      <c r="AF204" s="37">
        <f t="shared" si="28"/>
        <v>97655.337119371397</v>
      </c>
      <c r="AG204" s="37">
        <f t="shared" si="29"/>
        <v>1171864.2851342803</v>
      </c>
      <c r="AH204" s="37" t="b">
        <f t="shared" si="30"/>
        <v>1</v>
      </c>
      <c r="AI204" s="37"/>
      <c r="AJ204" s="37"/>
      <c r="AK204" s="37"/>
      <c r="AL204" s="37"/>
      <c r="AM204" s="37"/>
      <c r="AN204" s="37"/>
      <c r="AO204" s="37"/>
      <c r="AP204" s="207"/>
      <c r="AR204" s="37"/>
      <c r="AS204" s="37"/>
      <c r="AT204" s="37"/>
      <c r="AU204" s="37"/>
      <c r="AV204" s="37"/>
      <c r="AW204" s="37"/>
      <c r="AX204" s="37"/>
      <c r="AY204" s="37"/>
      <c r="AZ204" s="37"/>
      <c r="BA204" s="64"/>
    </row>
    <row r="205" spans="1:53">
      <c r="A205" s="231">
        <v>3019</v>
      </c>
      <c r="B205" s="4">
        <v>103406</v>
      </c>
      <c r="C205" s="4" t="s">
        <v>535</v>
      </c>
      <c r="D205" s="4" t="s">
        <v>536</v>
      </c>
      <c r="E205" s="213" t="s">
        <v>5</v>
      </c>
      <c r="F205" s="248" t="s">
        <v>415</v>
      </c>
      <c r="G205" s="37"/>
      <c r="H205" s="272">
        <f>_xlfn.IFNA(VLOOKUP(A205,ISB!$A$4:$BY$454,67,FALSE),0)</f>
        <v>2309095.4371073204</v>
      </c>
      <c r="I205" s="272">
        <f>_xlfn.IFNA(VLOOKUP(A205,ISB!$A$4:$BY$454,72,FALSE),0)</f>
        <v>-10153.35</v>
      </c>
      <c r="J205" s="273">
        <f>-_xlfn.IFNA(VLOOKUP(A205,ISB!$A$4:$BY$454,76,FALSE),0)</f>
        <v>-27824.831999999999</v>
      </c>
      <c r="K205" s="273">
        <f>_xlfn.IFNA(VLOOKUP(A205,ISB!$A$4:$BY$454,77,FALSE),0)</f>
        <v>2271117.2551073204</v>
      </c>
      <c r="L205" s="273">
        <f>_xlfn.IFNA(VLOOKUP(A205,'Post 16'!A:AC,13,FALSE),0)+(_xlfn.IFNA(VLOOKUP(A205,'Post 16'!A:AC,25,FALSE),0))</f>
        <v>0</v>
      </c>
      <c r="M205" s="273">
        <f>VLOOKUP(A205,HN!A:P,16,FALSE)</f>
        <v>0</v>
      </c>
      <c r="N205" s="273">
        <f>VLOOKUP(A205,HN!A:T,20,FALSE)</f>
        <v>0</v>
      </c>
      <c r="O205" s="273">
        <f>VLOOKUP(A205,EY!A:O,15,FALSE)</f>
        <v>0</v>
      </c>
      <c r="P205" s="273">
        <f>-VLOOKUP(A205,Adjustments!A:M,11,FALSE)</f>
        <v>-9471</v>
      </c>
      <c r="Q205" s="273"/>
      <c r="R205" s="273"/>
      <c r="S205" s="273">
        <f t="shared" si="31"/>
        <v>2261646.2551073204</v>
      </c>
      <c r="T205" s="37"/>
      <c r="U205" s="37">
        <v>188470.52125894336</v>
      </c>
      <c r="V205" s="37">
        <v>188470.52125894336</v>
      </c>
      <c r="W205" s="37">
        <v>188470.52125894336</v>
      </c>
      <c r="X205" s="37">
        <v>188470.52</v>
      </c>
      <c r="Y205" s="37">
        <v>188470.52</v>
      </c>
      <c r="Z205" s="37">
        <f t="shared" si="26"/>
        <v>188470.52141631127</v>
      </c>
      <c r="AA205" s="37">
        <f t="shared" si="27"/>
        <v>188470.52</v>
      </c>
      <c r="AB205" s="37">
        <f t="shared" si="27"/>
        <v>188470.52</v>
      </c>
      <c r="AC205" s="37">
        <f t="shared" si="27"/>
        <v>188470.52</v>
      </c>
      <c r="AD205" s="37">
        <f t="shared" si="27"/>
        <v>188470.52</v>
      </c>
      <c r="AE205" s="37">
        <f t="shared" si="27"/>
        <v>188470.52</v>
      </c>
      <c r="AF205" s="37">
        <f t="shared" si="28"/>
        <v>188470.52991417889</v>
      </c>
      <c r="AG205" s="37">
        <f t="shared" si="29"/>
        <v>2261646.2551073204</v>
      </c>
      <c r="AH205" s="37" t="b">
        <f t="shared" si="30"/>
        <v>1</v>
      </c>
      <c r="AI205" s="37"/>
      <c r="AJ205" s="37"/>
      <c r="AK205" s="37"/>
      <c r="AL205" s="37"/>
      <c r="AM205" s="37"/>
      <c r="AN205" s="37"/>
      <c r="AO205" s="37"/>
      <c r="AP205" s="207"/>
      <c r="AR205" s="37"/>
      <c r="AS205" s="37"/>
      <c r="AT205" s="37"/>
      <c r="AU205" s="37"/>
      <c r="AV205" s="37"/>
      <c r="AW205" s="37"/>
      <c r="AX205" s="37"/>
      <c r="AY205" s="37"/>
      <c r="AZ205" s="37"/>
      <c r="BA205" s="64"/>
    </row>
    <row r="207" spans="1:53">
      <c r="A207" s="231">
        <v>2097</v>
      </c>
      <c r="B207" s="4">
        <v>103213</v>
      </c>
      <c r="C207" s="4" t="s">
        <v>541</v>
      </c>
      <c r="D207" s="4" t="s">
        <v>542</v>
      </c>
      <c r="E207" s="213" t="s">
        <v>5</v>
      </c>
      <c r="F207" s="248" t="s">
        <v>415</v>
      </c>
      <c r="G207" s="37"/>
      <c r="H207" s="272">
        <f>_xlfn.IFNA(VLOOKUP(A207,ISB!$A$4:$BY$454,67,FALSE),0)</f>
        <v>1419290.6996970002</v>
      </c>
      <c r="I207" s="272">
        <f>_xlfn.IFNA(VLOOKUP(A207,ISB!$A$4:$BY$454,72,FALSE),0)</f>
        <v>-5264.7</v>
      </c>
      <c r="J207" s="273">
        <f>-_xlfn.IFNA(VLOOKUP(A207,ISB!$A$4:$BY$454,76,FALSE),0)</f>
        <v>-17433.2238</v>
      </c>
      <c r="K207" s="273">
        <f>_xlfn.IFNA(VLOOKUP(A207,ISB!$A$4:$BY$454,77,FALSE),0)</f>
        <v>1396592.7758970002</v>
      </c>
      <c r="L207" s="273">
        <f>_xlfn.IFNA(VLOOKUP(A207,'Post 16'!A:AC,13,FALSE),0)+(_xlfn.IFNA(VLOOKUP(A207,'Post 16'!A:AC,25,FALSE),0))</f>
        <v>0</v>
      </c>
      <c r="M207" s="273">
        <f>VLOOKUP(A207,HN!A:P,16,FALSE)</f>
        <v>0</v>
      </c>
      <c r="N207" s="273">
        <f>VLOOKUP(A207,HN!A:T,20,FALSE)</f>
        <v>0</v>
      </c>
      <c r="O207" s="273">
        <f>VLOOKUP(A207,EY!A:O,15,FALSE)</f>
        <v>91840.2</v>
      </c>
      <c r="P207" s="273">
        <f>-VLOOKUP(A207,Adjustments!A:M,11,FALSE)</f>
        <v>-5139.75</v>
      </c>
      <c r="Q207" s="273"/>
      <c r="R207" s="273"/>
      <c r="S207" s="273">
        <f t="shared" si="31"/>
        <v>1483293.2258970002</v>
      </c>
      <c r="T207" s="37"/>
      <c r="U207" s="37">
        <v>120927.64304350002</v>
      </c>
      <c r="V207" s="37">
        <v>120927.64304350002</v>
      </c>
      <c r="W207" s="37">
        <v>120927.64304350002</v>
      </c>
      <c r="X207" s="37">
        <v>124501.14</v>
      </c>
      <c r="Y207" s="37">
        <v>124501.14</v>
      </c>
      <c r="Z207" s="37">
        <f t="shared" si="26"/>
        <v>124501.14459581251</v>
      </c>
      <c r="AA207" s="37">
        <f t="shared" si="27"/>
        <v>124501.15</v>
      </c>
      <c r="AB207" s="37">
        <f t="shared" si="27"/>
        <v>124501.15</v>
      </c>
      <c r="AC207" s="37">
        <f t="shared" si="27"/>
        <v>124501.15</v>
      </c>
      <c r="AD207" s="37">
        <f t="shared" si="27"/>
        <v>124501.15</v>
      </c>
      <c r="AE207" s="37">
        <f t="shared" si="27"/>
        <v>124501.15</v>
      </c>
      <c r="AF207" s="37">
        <f t="shared" si="28"/>
        <v>124501.12217068765</v>
      </c>
      <c r="AG207" s="37">
        <f t="shared" si="29"/>
        <v>1483293.2258970002</v>
      </c>
      <c r="AH207" s="37" t="b">
        <f t="shared" si="30"/>
        <v>1</v>
      </c>
      <c r="AI207" s="37"/>
      <c r="AJ207" s="37"/>
      <c r="AK207" s="37"/>
      <c r="AL207" s="37"/>
      <c r="AM207" s="37"/>
      <c r="AN207" s="37"/>
      <c r="AO207" s="37"/>
      <c r="AP207" s="207"/>
      <c r="AR207" s="37"/>
      <c r="AS207" s="37"/>
      <c r="AT207" s="37"/>
      <c r="AU207" s="37"/>
      <c r="AV207" s="37"/>
      <c r="AW207" s="37"/>
      <c r="AX207" s="37"/>
      <c r="AY207" s="37"/>
      <c r="AZ207" s="37"/>
      <c r="BA207" s="64"/>
    </row>
    <row r="208" spans="1:53">
      <c r="A208" s="231">
        <v>2190</v>
      </c>
      <c r="B208" s="4">
        <v>103266</v>
      </c>
      <c r="C208" s="4" t="s">
        <v>544</v>
      </c>
      <c r="D208" s="4" t="s">
        <v>545</v>
      </c>
      <c r="E208" s="213" t="s">
        <v>5</v>
      </c>
      <c r="F208" s="248" t="s">
        <v>415</v>
      </c>
      <c r="G208" s="37"/>
      <c r="H208" s="272">
        <f>_xlfn.IFNA(VLOOKUP(A208,ISB!$A$4:$BY$454,67,FALSE),0)</f>
        <v>1047057.2785355523</v>
      </c>
      <c r="I208" s="272">
        <f>_xlfn.IFNA(VLOOKUP(A208,ISB!$A$4:$BY$454,72,FALSE),0)</f>
        <v>-4337.1099999999997</v>
      </c>
      <c r="J208" s="273">
        <f>-_xlfn.IFNA(VLOOKUP(A208,ISB!$A$4:$BY$454,76,FALSE),0)</f>
        <v>-21694.673699999999</v>
      </c>
      <c r="K208" s="273">
        <f>_xlfn.IFNA(VLOOKUP(A208,ISB!$A$4:$BY$454,77,FALSE),0)</f>
        <v>1021025.4948355523</v>
      </c>
      <c r="L208" s="273">
        <f>_xlfn.IFNA(VLOOKUP(A208,'Post 16'!A:AC,13,FALSE),0)+(_xlfn.IFNA(VLOOKUP(A208,'Post 16'!A:AC,25,FALSE),0))</f>
        <v>0</v>
      </c>
      <c r="M208" s="273">
        <f>VLOOKUP(A208,HN!A:P,16,FALSE)</f>
        <v>0</v>
      </c>
      <c r="N208" s="273">
        <f>VLOOKUP(A208,HN!A:T,20,FALSE)</f>
        <v>0</v>
      </c>
      <c r="O208" s="273">
        <f>VLOOKUP(A208,EY!A:O,15,FALSE)</f>
        <v>0</v>
      </c>
      <c r="P208" s="273">
        <f>-VLOOKUP(A208,Adjustments!A:M,11,FALSE)</f>
        <v>-5139.75</v>
      </c>
      <c r="Q208" s="273"/>
      <c r="R208" s="273"/>
      <c r="S208" s="273">
        <f t="shared" si="31"/>
        <v>1015885.7448355523</v>
      </c>
      <c r="T208" s="37"/>
      <c r="U208" s="37">
        <v>84657.145402962691</v>
      </c>
      <c r="V208" s="37">
        <v>84657.145402962691</v>
      </c>
      <c r="W208" s="37">
        <v>84657.145402962691</v>
      </c>
      <c r="X208" s="37">
        <v>84657.15</v>
      </c>
      <c r="Y208" s="37">
        <v>84657.14</v>
      </c>
      <c r="Z208" s="37">
        <f t="shared" si="26"/>
        <v>84657.144828333025</v>
      </c>
      <c r="AA208" s="37">
        <f t="shared" si="27"/>
        <v>84657.15</v>
      </c>
      <c r="AB208" s="37">
        <f t="shared" si="27"/>
        <v>84657.15</v>
      </c>
      <c r="AC208" s="37">
        <f t="shared" si="27"/>
        <v>84657.15</v>
      </c>
      <c r="AD208" s="37">
        <f t="shared" si="27"/>
        <v>84657.15</v>
      </c>
      <c r="AE208" s="37">
        <f t="shared" si="27"/>
        <v>84657.15</v>
      </c>
      <c r="AF208" s="37">
        <f t="shared" si="28"/>
        <v>84657.123798331013</v>
      </c>
      <c r="AG208" s="37">
        <f t="shared" si="29"/>
        <v>1015885.7448355523</v>
      </c>
      <c r="AH208" s="37" t="b">
        <f t="shared" si="30"/>
        <v>1</v>
      </c>
      <c r="AI208" s="37"/>
      <c r="AJ208" s="37"/>
      <c r="AK208" s="37"/>
      <c r="AL208" s="37"/>
      <c r="AM208" s="37"/>
      <c r="AN208" s="37"/>
      <c r="AO208" s="37"/>
      <c r="AP208" s="207"/>
      <c r="AR208" s="37"/>
      <c r="AS208" s="37"/>
      <c r="AT208" s="37"/>
      <c r="AU208" s="37"/>
      <c r="AV208" s="37"/>
      <c r="AW208" s="37"/>
      <c r="AX208" s="37"/>
      <c r="AY208" s="37"/>
      <c r="AZ208" s="37"/>
      <c r="BA208" s="64"/>
    </row>
    <row r="209" spans="1:53">
      <c r="A209" s="231">
        <v>7035</v>
      </c>
      <c r="B209" s="4">
        <v>103615</v>
      </c>
      <c r="C209" s="4" t="s">
        <v>547</v>
      </c>
      <c r="D209" s="4" t="s">
        <v>548</v>
      </c>
      <c r="E209" s="213" t="s">
        <v>1093</v>
      </c>
      <c r="F209" s="248" t="s">
        <v>415</v>
      </c>
      <c r="G209" s="37"/>
      <c r="H209" s="272">
        <f>_xlfn.IFNA(VLOOKUP(A209,ISB!$A$4:$BY$454,67,FALSE),0)</f>
        <v>0</v>
      </c>
      <c r="I209" s="272">
        <f>_xlfn.IFNA(VLOOKUP(A209,ISB!$A$4:$BY$454,72,FALSE),0)</f>
        <v>0</v>
      </c>
      <c r="J209" s="273">
        <f>-_xlfn.IFNA(VLOOKUP(A209,ISB!$A$4:$BY$454,76,FALSE),0)</f>
        <v>0</v>
      </c>
      <c r="K209" s="273">
        <f>_xlfn.IFNA(VLOOKUP(A209,ISB!$A$4:$BY$454,77,FALSE),0)</f>
        <v>0</v>
      </c>
      <c r="L209" s="273">
        <f>_xlfn.IFNA(VLOOKUP(A209,'Post 16'!A:AC,13,FALSE),0)+(_xlfn.IFNA(VLOOKUP(A209,'Post 16'!A:AC,25,FALSE),0))</f>
        <v>0</v>
      </c>
      <c r="M209" s="273">
        <f>VLOOKUP(A209,HN!A:P,16,FALSE)</f>
        <v>3004086.91663134</v>
      </c>
      <c r="N209" s="273">
        <f>VLOOKUP(A209,HN!A:T,20,FALSE)</f>
        <v>0</v>
      </c>
      <c r="O209" s="273">
        <f>VLOOKUP(A209,EY!A:O,15,FALSE)</f>
        <v>0</v>
      </c>
      <c r="P209" s="273">
        <f>-VLOOKUP(A209,Adjustments!A:M,11,FALSE)</f>
        <v>-5139.75</v>
      </c>
      <c r="Q209" s="273"/>
      <c r="R209" s="273"/>
      <c r="S209" s="273">
        <f t="shared" si="31"/>
        <v>2998947.16663134</v>
      </c>
      <c r="T209" s="37"/>
      <c r="U209" s="37">
        <v>249239.09721927834</v>
      </c>
      <c r="V209" s="37">
        <v>249239.09721927834</v>
      </c>
      <c r="W209" s="37">
        <v>249239.09721927834</v>
      </c>
      <c r="X209" s="37">
        <v>250136.65</v>
      </c>
      <c r="Y209" s="37">
        <v>250136.65</v>
      </c>
      <c r="Z209" s="37">
        <f t="shared" si="26"/>
        <v>250136.65312168811</v>
      </c>
      <c r="AA209" s="37">
        <f t="shared" si="27"/>
        <v>250136.65</v>
      </c>
      <c r="AB209" s="37">
        <f t="shared" si="27"/>
        <v>250136.65</v>
      </c>
      <c r="AC209" s="37">
        <f t="shared" si="27"/>
        <v>250136.65</v>
      </c>
      <c r="AD209" s="37">
        <f t="shared" si="27"/>
        <v>250136.65</v>
      </c>
      <c r="AE209" s="37">
        <f t="shared" si="27"/>
        <v>250136.65</v>
      </c>
      <c r="AF209" s="37">
        <f t="shared" si="28"/>
        <v>250136.67185181705</v>
      </c>
      <c r="AG209" s="37">
        <f t="shared" si="29"/>
        <v>2998947.16663134</v>
      </c>
      <c r="AH209" s="37" t="b">
        <f t="shared" si="30"/>
        <v>1</v>
      </c>
      <c r="AI209" s="37"/>
      <c r="AJ209" s="37"/>
      <c r="AK209" s="37"/>
      <c r="AL209" s="37"/>
      <c r="AM209" s="37"/>
      <c r="AN209" s="37"/>
      <c r="AO209" s="37"/>
      <c r="AP209" s="207"/>
      <c r="AR209" s="37"/>
      <c r="AS209" s="37"/>
      <c r="AT209" s="37"/>
      <c r="AU209" s="37"/>
      <c r="AV209" s="37"/>
      <c r="AW209" s="37"/>
      <c r="AX209" s="37"/>
      <c r="AY209" s="37"/>
      <c r="AZ209" s="37"/>
      <c r="BA209" s="64"/>
    </row>
    <row r="210" spans="1:53">
      <c r="A210" s="231">
        <v>7045</v>
      </c>
      <c r="B210" s="4">
        <v>103622</v>
      </c>
      <c r="C210" s="4" t="s">
        <v>550</v>
      </c>
      <c r="D210" s="4" t="s">
        <v>864</v>
      </c>
      <c r="E210" s="213" t="s">
        <v>1093</v>
      </c>
      <c r="F210" s="248" t="s">
        <v>415</v>
      </c>
      <c r="G210" s="37"/>
      <c r="H210" s="272">
        <f>_xlfn.IFNA(VLOOKUP(A210,ISB!$A$4:$BY$454,67,FALSE),0)</f>
        <v>0</v>
      </c>
      <c r="I210" s="272">
        <f>_xlfn.IFNA(VLOOKUP(A210,ISB!$A$4:$BY$454,72,FALSE),0)</f>
        <v>0</v>
      </c>
      <c r="J210" s="273">
        <f>-_xlfn.IFNA(VLOOKUP(A210,ISB!$A$4:$BY$454,76,FALSE),0)</f>
        <v>0</v>
      </c>
      <c r="K210" s="273">
        <f>_xlfn.IFNA(VLOOKUP(A210,ISB!$A$4:$BY$454,77,FALSE),0)</f>
        <v>0</v>
      </c>
      <c r="L210" s="273">
        <f>_xlfn.IFNA(VLOOKUP(A210,'Post 16'!A:AC,13,FALSE),0)+(_xlfn.IFNA(VLOOKUP(A210,'Post 16'!A:AC,25,FALSE),0))</f>
        <v>0</v>
      </c>
      <c r="M210" s="273">
        <f>VLOOKUP(A210,HN!A:P,16,FALSE)</f>
        <v>5786825.2179505005</v>
      </c>
      <c r="N210" s="273">
        <f>VLOOKUP(A210,HN!A:T,20,FALSE)</f>
        <v>0</v>
      </c>
      <c r="O210" s="273">
        <f>VLOOKUP(A210,EY!A:O,15,FALSE)</f>
        <v>2379</v>
      </c>
      <c r="P210" s="273">
        <f>-VLOOKUP(A210,Adjustments!A:M,11,FALSE)</f>
        <v>-5139.75</v>
      </c>
      <c r="Q210" s="273"/>
      <c r="R210" s="273"/>
      <c r="S210" s="273">
        <f t="shared" si="31"/>
        <v>5784064.4679505005</v>
      </c>
      <c r="T210" s="37"/>
      <c r="U210" s="37">
        <v>481877.62232920836</v>
      </c>
      <c r="V210" s="37">
        <v>481877.62232920836</v>
      </c>
      <c r="W210" s="37">
        <v>481877.62232920836</v>
      </c>
      <c r="X210" s="37">
        <v>482047.96</v>
      </c>
      <c r="Y210" s="37">
        <v>482047.96</v>
      </c>
      <c r="Z210" s="37">
        <f t="shared" si="26"/>
        <v>482047.95512035943</v>
      </c>
      <c r="AA210" s="37">
        <f t="shared" si="27"/>
        <v>482047.95</v>
      </c>
      <c r="AB210" s="37">
        <f t="shared" si="27"/>
        <v>482047.95</v>
      </c>
      <c r="AC210" s="37">
        <f t="shared" si="27"/>
        <v>482047.95</v>
      </c>
      <c r="AD210" s="37">
        <f t="shared" si="27"/>
        <v>482047.95</v>
      </c>
      <c r="AE210" s="37">
        <f t="shared" si="27"/>
        <v>482047.95</v>
      </c>
      <c r="AF210" s="37">
        <f t="shared" si="28"/>
        <v>482047.97584251501</v>
      </c>
      <c r="AG210" s="37">
        <f t="shared" si="29"/>
        <v>5784064.4679505005</v>
      </c>
      <c r="AH210" s="37" t="b">
        <f t="shared" si="30"/>
        <v>1</v>
      </c>
      <c r="AI210" s="37"/>
      <c r="AJ210" s="37"/>
      <c r="AK210" s="37"/>
      <c r="AL210" s="37"/>
      <c r="AM210" s="37"/>
      <c r="AN210" s="37"/>
      <c r="AO210" s="37"/>
      <c r="AP210" s="207"/>
      <c r="AR210" s="37"/>
      <c r="AS210" s="37"/>
      <c r="AT210" s="37"/>
      <c r="AU210" s="37"/>
      <c r="AV210" s="37"/>
      <c r="AW210" s="37"/>
      <c r="AX210" s="37"/>
      <c r="AY210" s="37"/>
      <c r="AZ210" s="37"/>
      <c r="BA210" s="64"/>
    </row>
    <row r="211" spans="1:53">
      <c r="A211" s="231">
        <v>1019</v>
      </c>
      <c r="B211" s="4">
        <v>103132</v>
      </c>
      <c r="C211" s="4" t="s">
        <v>553</v>
      </c>
      <c r="D211" s="4" t="s">
        <v>554</v>
      </c>
      <c r="E211" s="213" t="s">
        <v>180</v>
      </c>
      <c r="F211" s="248" t="s">
        <v>415</v>
      </c>
      <c r="G211" s="37"/>
      <c r="H211" s="272">
        <f>_xlfn.IFNA(VLOOKUP(A211,ISB!$A$4:$BY$454,67,FALSE),0)</f>
        <v>0</v>
      </c>
      <c r="I211" s="272">
        <f>_xlfn.IFNA(VLOOKUP(A211,ISB!$A$4:$BY$454,72,FALSE),0)</f>
        <v>0</v>
      </c>
      <c r="J211" s="273">
        <f>-_xlfn.IFNA(VLOOKUP(A211,ISB!$A$4:$BY$454,76,FALSE),0)</f>
        <v>0</v>
      </c>
      <c r="K211" s="273">
        <f>_xlfn.IFNA(VLOOKUP(A211,ISB!$A$4:$BY$454,77,FALSE),0)</f>
        <v>0</v>
      </c>
      <c r="L211" s="273">
        <f>_xlfn.IFNA(VLOOKUP(A211,'Post 16'!A:AC,13,FALSE),0)+(_xlfn.IFNA(VLOOKUP(A211,'Post 16'!A:AC,25,FALSE),0))</f>
        <v>0</v>
      </c>
      <c r="M211" s="273">
        <f>VLOOKUP(A211,HN!A:P,16,FALSE)</f>
        <v>0</v>
      </c>
      <c r="N211" s="273">
        <f>VLOOKUP(A211,HN!A:T,20,FALSE)</f>
        <v>0</v>
      </c>
      <c r="O211" s="273">
        <f>VLOOKUP(A211,EY!A:O,15,FALSE)</f>
        <v>901222.06</v>
      </c>
      <c r="P211" s="273">
        <f>-VLOOKUP(A211,Adjustments!A:M,11,FALSE)</f>
        <v>-3291.75</v>
      </c>
      <c r="Q211" s="273"/>
      <c r="R211" s="273"/>
      <c r="S211" s="273">
        <f t="shared" si="31"/>
        <v>897930.31</v>
      </c>
      <c r="T211" s="37"/>
      <c r="U211" s="37">
        <v>60397.277863938965</v>
      </c>
      <c r="V211" s="37">
        <v>60397.277863938965</v>
      </c>
      <c r="W211" s="37">
        <v>60397.277863938965</v>
      </c>
      <c r="X211" s="37">
        <v>79637.61</v>
      </c>
      <c r="Y211" s="37">
        <v>79637.61</v>
      </c>
      <c r="Z211" s="37">
        <f t="shared" si="26"/>
        <v>79637.608301022905</v>
      </c>
      <c r="AA211" s="37">
        <f t="shared" si="27"/>
        <v>79637.61</v>
      </c>
      <c r="AB211" s="37">
        <f t="shared" si="27"/>
        <v>79637.61</v>
      </c>
      <c r="AC211" s="37">
        <f t="shared" si="27"/>
        <v>79637.61</v>
      </c>
      <c r="AD211" s="37">
        <f t="shared" si="27"/>
        <v>79637.61</v>
      </c>
      <c r="AE211" s="37">
        <f t="shared" si="27"/>
        <v>79637.61</v>
      </c>
      <c r="AF211" s="37">
        <f t="shared" si="28"/>
        <v>79637.598107160302</v>
      </c>
      <c r="AG211" s="37">
        <f t="shared" si="29"/>
        <v>897930.31</v>
      </c>
      <c r="AH211" s="37" t="b">
        <f t="shared" si="30"/>
        <v>1</v>
      </c>
      <c r="AI211" s="37"/>
      <c r="AJ211" s="37"/>
      <c r="AK211" s="37"/>
      <c r="AL211" s="37"/>
      <c r="AM211" s="37"/>
      <c r="AN211" s="37"/>
      <c r="AO211" s="37"/>
      <c r="AP211" s="207"/>
      <c r="AR211" s="37"/>
      <c r="AS211" s="37"/>
      <c r="AT211" s="37"/>
      <c r="AU211" s="37"/>
      <c r="AV211" s="37"/>
      <c r="AW211" s="37"/>
      <c r="AX211" s="37"/>
      <c r="AY211" s="37"/>
      <c r="AZ211" s="37"/>
      <c r="BA211" s="64"/>
    </row>
    <row r="212" spans="1:53">
      <c r="A212" s="231">
        <v>2306</v>
      </c>
      <c r="B212" s="4">
        <v>103326</v>
      </c>
      <c r="C212" s="4" t="s">
        <v>556</v>
      </c>
      <c r="D212" s="4" t="s">
        <v>557</v>
      </c>
      <c r="E212" s="213" t="s">
        <v>5</v>
      </c>
      <c r="F212" s="248" t="s">
        <v>415</v>
      </c>
      <c r="G212" s="37"/>
      <c r="H212" s="272">
        <f>_xlfn.IFNA(VLOOKUP(A212,ISB!$A$4:$BY$454,67,FALSE),0)</f>
        <v>1203618.4359560278</v>
      </c>
      <c r="I212" s="272">
        <f>_xlfn.IFNA(VLOOKUP(A212,ISB!$A$4:$BY$454,72,FALSE),0)</f>
        <v>-5189.49</v>
      </c>
      <c r="J212" s="273">
        <f>-_xlfn.IFNA(VLOOKUP(A212,ISB!$A$4:$BY$454,76,FALSE),0)</f>
        <v>-19886.786800000002</v>
      </c>
      <c r="K212" s="273">
        <f>_xlfn.IFNA(VLOOKUP(A212,ISB!$A$4:$BY$454,77,FALSE),0)</f>
        <v>1178542.1591560277</v>
      </c>
      <c r="L212" s="273">
        <f>_xlfn.IFNA(VLOOKUP(A212,'Post 16'!A:AC,13,FALSE),0)+(_xlfn.IFNA(VLOOKUP(A212,'Post 16'!A:AC,25,FALSE),0))</f>
        <v>0</v>
      </c>
      <c r="M212" s="273">
        <f>VLOOKUP(A212,HN!A:P,16,FALSE)</f>
        <v>0</v>
      </c>
      <c r="N212" s="273">
        <f>VLOOKUP(A212,HN!A:T,20,FALSE)</f>
        <v>0</v>
      </c>
      <c r="O212" s="273">
        <f>VLOOKUP(A212,EY!A:O,15,FALSE)</f>
        <v>0</v>
      </c>
      <c r="P212" s="273">
        <f>-VLOOKUP(A212,Adjustments!A:M,11,FALSE)</f>
        <v>-5139.75</v>
      </c>
      <c r="Q212" s="273"/>
      <c r="R212" s="273"/>
      <c r="S212" s="273">
        <f t="shared" si="31"/>
        <v>1173402.4091560277</v>
      </c>
      <c r="T212" s="37"/>
      <c r="U212" s="37">
        <v>97783.534096335643</v>
      </c>
      <c r="V212" s="37">
        <v>97783.534096335643</v>
      </c>
      <c r="W212" s="37">
        <v>97783.534096335643</v>
      </c>
      <c r="X212" s="37">
        <v>97783.53</v>
      </c>
      <c r="Y212" s="37">
        <v>97783.53</v>
      </c>
      <c r="Z212" s="37">
        <f t="shared" ref="Z212:Z219" si="32">($S212-SUM($U212:$X212))/8</f>
        <v>97783.534608377595</v>
      </c>
      <c r="AA212" s="37">
        <f t="shared" si="27"/>
        <v>97783.54</v>
      </c>
      <c r="AB212" s="37">
        <f t="shared" si="27"/>
        <v>97783.54</v>
      </c>
      <c r="AC212" s="37">
        <f t="shared" si="27"/>
        <v>97783.54</v>
      </c>
      <c r="AD212" s="37">
        <f t="shared" si="27"/>
        <v>97783.54</v>
      </c>
      <c r="AE212" s="37">
        <f t="shared" si="27"/>
        <v>97783.54</v>
      </c>
      <c r="AF212" s="37">
        <f t="shared" si="28"/>
        <v>97783.512258643052</v>
      </c>
      <c r="AG212" s="37">
        <f t="shared" si="29"/>
        <v>1173402.4091560277</v>
      </c>
      <c r="AH212" s="37" t="b">
        <f t="shared" si="30"/>
        <v>1</v>
      </c>
      <c r="AI212" s="37"/>
      <c r="AJ212" s="37"/>
      <c r="AK212" s="37"/>
      <c r="AL212" s="37"/>
      <c r="AM212" s="37"/>
      <c r="AN212" s="37"/>
      <c r="AO212" s="37"/>
      <c r="AP212" s="207"/>
      <c r="AR212" s="37"/>
      <c r="AS212" s="37"/>
      <c r="AT212" s="37"/>
      <c r="AU212" s="37"/>
      <c r="AV212" s="37"/>
      <c r="AW212" s="37"/>
      <c r="AX212" s="37"/>
      <c r="AY212" s="37"/>
      <c r="AZ212" s="37"/>
      <c r="BA212" s="64"/>
    </row>
    <row r="213" spans="1:53">
      <c r="A213" s="231">
        <v>2482</v>
      </c>
      <c r="B213" s="4">
        <v>132201</v>
      </c>
      <c r="C213" s="4" t="s">
        <v>559</v>
      </c>
      <c r="D213" s="4" t="s">
        <v>560</v>
      </c>
      <c r="E213" s="213" t="s">
        <v>5</v>
      </c>
      <c r="F213" s="248" t="s">
        <v>415</v>
      </c>
      <c r="G213" s="37"/>
      <c r="H213" s="272">
        <f>_xlfn.IFNA(VLOOKUP(A213,ISB!$A$4:$BY$454,67,FALSE),0)</f>
        <v>2335026.9652391677</v>
      </c>
      <c r="I213" s="272">
        <f>_xlfn.IFNA(VLOOKUP(A213,ISB!$A$4:$BY$454,72,FALSE),0)</f>
        <v>-9902.65</v>
      </c>
      <c r="J213" s="273">
        <f>-_xlfn.IFNA(VLOOKUP(A213,ISB!$A$4:$BY$454,76,FALSE),0)</f>
        <v>-36932.596700000002</v>
      </c>
      <c r="K213" s="273">
        <f>_xlfn.IFNA(VLOOKUP(A213,ISB!$A$4:$BY$454,77,FALSE),0)</f>
        <v>2288191.7185391677</v>
      </c>
      <c r="L213" s="273">
        <f>_xlfn.IFNA(VLOOKUP(A213,'Post 16'!A:AC,13,FALSE),0)+(_xlfn.IFNA(VLOOKUP(A213,'Post 16'!A:AC,25,FALSE),0))</f>
        <v>0</v>
      </c>
      <c r="M213" s="273">
        <f>VLOOKUP(A213,HN!A:P,16,FALSE)</f>
        <v>0</v>
      </c>
      <c r="N213" s="273">
        <f>VLOOKUP(A213,HN!A:T,20,FALSE)</f>
        <v>0</v>
      </c>
      <c r="O213" s="273">
        <f>VLOOKUP(A213,EY!A:O,15,FALSE)</f>
        <v>140551.79999999999</v>
      </c>
      <c r="P213" s="273">
        <f>-VLOOKUP(A213,Adjustments!A:M,11,FALSE)</f>
        <v>-9471</v>
      </c>
      <c r="Q213" s="273"/>
      <c r="R213" s="273"/>
      <c r="S213" s="273">
        <f t="shared" si="31"/>
        <v>2419272.5185391675</v>
      </c>
      <c r="T213" s="37"/>
      <c r="U213" s="37">
        <v>198636.20749731161</v>
      </c>
      <c r="V213" s="37">
        <v>198636.20749731161</v>
      </c>
      <c r="W213" s="37">
        <v>198636.20749731161</v>
      </c>
      <c r="X213" s="37">
        <v>202595.99</v>
      </c>
      <c r="Y213" s="37">
        <v>202595.99</v>
      </c>
      <c r="Z213" s="37">
        <f t="shared" si="32"/>
        <v>202595.98825590409</v>
      </c>
      <c r="AA213" s="37">
        <f t="shared" si="27"/>
        <v>202595.99</v>
      </c>
      <c r="AB213" s="37">
        <f t="shared" si="27"/>
        <v>202595.99</v>
      </c>
      <c r="AC213" s="37">
        <f t="shared" si="27"/>
        <v>202595.99</v>
      </c>
      <c r="AD213" s="37">
        <f t="shared" si="27"/>
        <v>202595.99</v>
      </c>
      <c r="AE213" s="37">
        <f t="shared" si="27"/>
        <v>202595.99</v>
      </c>
      <c r="AF213" s="37">
        <f t="shared" si="28"/>
        <v>202595.97779132845</v>
      </c>
      <c r="AG213" s="37">
        <f t="shared" si="29"/>
        <v>2419272.5185391675</v>
      </c>
      <c r="AH213" s="37" t="b">
        <f t="shared" si="30"/>
        <v>1</v>
      </c>
      <c r="AI213" s="37"/>
      <c r="AJ213" s="37"/>
      <c r="AK213" s="37"/>
      <c r="AL213" s="37"/>
      <c r="AM213" s="37"/>
      <c r="AN213" s="37"/>
      <c r="AO213" s="37"/>
      <c r="AP213" s="207"/>
      <c r="AR213" s="37"/>
      <c r="AS213" s="37"/>
      <c r="AT213" s="37"/>
      <c r="AU213" s="37"/>
      <c r="AV213" s="37"/>
      <c r="AW213" s="37"/>
      <c r="AX213" s="37"/>
      <c r="AY213" s="37"/>
      <c r="AZ213" s="37"/>
      <c r="BA213" s="64"/>
    </row>
    <row r="214" spans="1:53">
      <c r="A214" s="231">
        <v>2245</v>
      </c>
      <c r="B214" s="4">
        <v>103295</v>
      </c>
      <c r="C214" s="4" t="s">
        <v>562</v>
      </c>
      <c r="D214" s="4" t="s">
        <v>563</v>
      </c>
      <c r="E214" s="213" t="s">
        <v>5</v>
      </c>
      <c r="F214" s="248" t="s">
        <v>415</v>
      </c>
      <c r="G214" s="37"/>
      <c r="H214" s="272">
        <f>_xlfn.IFNA(VLOOKUP(A214,ISB!$A$4:$BY$454,67,FALSE),0)</f>
        <v>1431450.6867029357</v>
      </c>
      <c r="I214" s="272">
        <f>_xlfn.IFNA(VLOOKUP(A214,ISB!$A$4:$BY$454,72,FALSE),0)</f>
        <v>-5289.77</v>
      </c>
      <c r="J214" s="273">
        <f>-_xlfn.IFNA(VLOOKUP(A214,ISB!$A$4:$BY$454,76,FALSE),0)</f>
        <v>-18595.434600000001</v>
      </c>
      <c r="K214" s="273">
        <f>_xlfn.IFNA(VLOOKUP(A214,ISB!$A$4:$BY$454,77,FALSE),0)</f>
        <v>1407565.4821029357</v>
      </c>
      <c r="L214" s="273">
        <f>_xlfn.IFNA(VLOOKUP(A214,'Post 16'!A:AC,13,FALSE),0)+(_xlfn.IFNA(VLOOKUP(A214,'Post 16'!A:AC,25,FALSE),0))</f>
        <v>0</v>
      </c>
      <c r="M214" s="273">
        <f>VLOOKUP(A214,HN!A:P,16,FALSE)</f>
        <v>0</v>
      </c>
      <c r="N214" s="273">
        <f>VLOOKUP(A214,HN!A:T,20,FALSE)</f>
        <v>186312.5</v>
      </c>
      <c r="O214" s="273">
        <f>VLOOKUP(A214,EY!A:O,15,FALSE)</f>
        <v>81857.2</v>
      </c>
      <c r="P214" s="273">
        <f>-VLOOKUP(A214,Adjustments!A:M,11,FALSE)</f>
        <v>-5139.75</v>
      </c>
      <c r="Q214" s="273"/>
      <c r="R214" s="273"/>
      <c r="S214" s="273">
        <f t="shared" si="31"/>
        <v>1670595.4321029356</v>
      </c>
      <c r="T214" s="37"/>
      <c r="U214" s="37">
        <v>122373.48129843303</v>
      </c>
      <c r="V214" s="37">
        <v>122373.48129843303</v>
      </c>
      <c r="W214" s="37">
        <v>122373.48129843303</v>
      </c>
      <c r="X214" s="37">
        <v>186233.33666666667</v>
      </c>
      <c r="Y214" s="37">
        <v>139655.21</v>
      </c>
      <c r="Z214" s="37">
        <f t="shared" si="32"/>
        <v>139655.20644262125</v>
      </c>
      <c r="AA214" s="37">
        <f t="shared" si="27"/>
        <v>139655.21</v>
      </c>
      <c r="AB214" s="37">
        <f t="shared" si="27"/>
        <v>139655.21</v>
      </c>
      <c r="AC214" s="37">
        <f t="shared" si="27"/>
        <v>139655.21</v>
      </c>
      <c r="AD214" s="37">
        <f t="shared" si="27"/>
        <v>139655.21</v>
      </c>
      <c r="AE214" s="37">
        <f t="shared" si="27"/>
        <v>139655.21</v>
      </c>
      <c r="AF214" s="37">
        <f t="shared" si="28"/>
        <v>139655.18509834888</v>
      </c>
      <c r="AG214" s="37">
        <f t="shared" si="29"/>
        <v>1670595.4321029356</v>
      </c>
      <c r="AH214" s="37" t="b">
        <f t="shared" si="30"/>
        <v>1</v>
      </c>
      <c r="AI214" s="37"/>
      <c r="AJ214" s="37"/>
      <c r="AK214" s="37"/>
      <c r="AL214" s="37"/>
      <c r="AM214" s="37"/>
      <c r="AN214" s="37"/>
      <c r="AO214" s="37"/>
      <c r="AP214" s="207"/>
      <c r="AR214" s="37"/>
      <c r="AS214" s="37"/>
      <c r="AT214" s="37"/>
      <c r="AU214" s="37"/>
      <c r="AV214" s="37"/>
      <c r="AW214" s="37"/>
      <c r="AX214" s="37"/>
      <c r="AY214" s="37"/>
      <c r="AZ214" s="37"/>
      <c r="BA214" s="64"/>
    </row>
    <row r="215" spans="1:53">
      <c r="A215" s="231">
        <v>2445</v>
      </c>
      <c r="B215" s="4">
        <v>103372</v>
      </c>
      <c r="C215" s="4" t="s">
        <v>568</v>
      </c>
      <c r="D215" s="4" t="s">
        <v>569</v>
      </c>
      <c r="E215" s="213" t="s">
        <v>5</v>
      </c>
      <c r="F215" s="248" t="s">
        <v>415</v>
      </c>
      <c r="G215" s="37"/>
      <c r="H215" s="272">
        <f>_xlfn.IFNA(VLOOKUP(A215,ISB!$A$4:$BY$454,67,FALSE),0)</f>
        <v>1274917.5587850283</v>
      </c>
      <c r="I215" s="272">
        <f>_xlfn.IFNA(VLOOKUP(A215,ISB!$A$4:$BY$454,72,FALSE),0)</f>
        <v>-4988.93</v>
      </c>
      <c r="J215" s="273">
        <f>-_xlfn.IFNA(VLOOKUP(A215,ISB!$A$4:$BY$454,76,FALSE),0)</f>
        <v>-24535.640299999999</v>
      </c>
      <c r="K215" s="273">
        <f>_xlfn.IFNA(VLOOKUP(A215,ISB!$A$4:$BY$454,77,FALSE),0)</f>
        <v>1245392.9884850283</v>
      </c>
      <c r="L215" s="273">
        <f>_xlfn.IFNA(VLOOKUP(A215,'Post 16'!A:AC,13,FALSE),0)+(_xlfn.IFNA(VLOOKUP(A215,'Post 16'!A:AC,25,FALSE),0))</f>
        <v>0</v>
      </c>
      <c r="M215" s="273">
        <f>VLOOKUP(A215,HN!A:P,16,FALSE)</f>
        <v>0</v>
      </c>
      <c r="N215" s="273">
        <f>VLOOKUP(A215,HN!A:T,20,FALSE)</f>
        <v>0</v>
      </c>
      <c r="O215" s="273">
        <f>VLOOKUP(A215,EY!A:O,15,FALSE)</f>
        <v>0</v>
      </c>
      <c r="P215" s="273">
        <f>-VLOOKUP(A215,Adjustments!A:M,11,FALSE)</f>
        <v>-5139.75</v>
      </c>
      <c r="Q215" s="273"/>
      <c r="R215" s="273"/>
      <c r="S215" s="273">
        <f t="shared" si="31"/>
        <v>1240253.2384850283</v>
      </c>
      <c r="T215" s="37"/>
      <c r="U215" s="37">
        <v>103354.43654041902</v>
      </c>
      <c r="V215" s="37">
        <v>103354.43654041902</v>
      </c>
      <c r="W215" s="37">
        <v>103354.43654041902</v>
      </c>
      <c r="X215" s="37">
        <v>103354.44</v>
      </c>
      <c r="Y215" s="37">
        <v>103354.44</v>
      </c>
      <c r="Z215" s="37">
        <f t="shared" si="32"/>
        <v>103354.4361079714</v>
      </c>
      <c r="AA215" s="37">
        <f t="shared" si="27"/>
        <v>103354.44</v>
      </c>
      <c r="AB215" s="37">
        <f t="shared" si="27"/>
        <v>103354.44</v>
      </c>
      <c r="AC215" s="37">
        <f t="shared" si="27"/>
        <v>103354.44</v>
      </c>
      <c r="AD215" s="37">
        <f t="shared" si="27"/>
        <v>103354.44</v>
      </c>
      <c r="AE215" s="37">
        <f t="shared" si="27"/>
        <v>103354.44</v>
      </c>
      <c r="AF215" s="37">
        <f t="shared" si="28"/>
        <v>103354.41275579995</v>
      </c>
      <c r="AG215" s="37">
        <f t="shared" si="29"/>
        <v>1240253.2384850283</v>
      </c>
      <c r="AH215" s="37" t="b">
        <f t="shared" si="30"/>
        <v>1</v>
      </c>
      <c r="AI215" s="37"/>
      <c r="AJ215" s="37"/>
      <c r="AK215" s="37"/>
      <c r="AL215" s="37"/>
      <c r="AM215" s="37"/>
      <c r="AN215" s="37"/>
      <c r="AO215" s="37"/>
      <c r="AP215" s="207"/>
      <c r="AR215" s="37"/>
      <c r="AS215" s="37"/>
      <c r="AT215" s="37"/>
      <c r="AU215" s="37"/>
      <c r="AV215" s="37"/>
      <c r="AW215" s="37"/>
      <c r="AX215" s="37"/>
      <c r="AY215" s="37"/>
      <c r="AZ215" s="37"/>
      <c r="BA215" s="64"/>
    </row>
    <row r="216" spans="1:53">
      <c r="A216" s="231">
        <v>2278</v>
      </c>
      <c r="B216" s="4">
        <v>103310</v>
      </c>
      <c r="C216" s="4" t="s">
        <v>571</v>
      </c>
      <c r="D216" s="4" t="s">
        <v>572</v>
      </c>
      <c r="E216" s="213" t="s">
        <v>5</v>
      </c>
      <c r="F216" s="248" t="s">
        <v>415</v>
      </c>
      <c r="G216" s="37"/>
      <c r="H216" s="272">
        <f>_xlfn.IFNA(VLOOKUP(A216,ISB!$A$4:$BY$454,67,FALSE),0)</f>
        <v>2320175.3489103774</v>
      </c>
      <c r="I216" s="272">
        <f>_xlfn.IFNA(VLOOKUP(A216,ISB!$A$4:$BY$454,72,FALSE),0)</f>
        <v>-10128.280000000001</v>
      </c>
      <c r="J216" s="273">
        <f>-_xlfn.IFNA(VLOOKUP(A216,ISB!$A$4:$BY$454,76,FALSE),0)</f>
        <v>-24535.640299999999</v>
      </c>
      <c r="K216" s="273">
        <f>_xlfn.IFNA(VLOOKUP(A216,ISB!$A$4:$BY$454,77,FALSE),0)</f>
        <v>2285511.4286103775</v>
      </c>
      <c r="L216" s="273">
        <f>_xlfn.IFNA(VLOOKUP(A216,'Post 16'!A:AC,13,FALSE),0)+(_xlfn.IFNA(VLOOKUP(A216,'Post 16'!A:AC,25,FALSE),0))</f>
        <v>0</v>
      </c>
      <c r="M216" s="273">
        <f>VLOOKUP(A216,HN!A:P,16,FALSE)</f>
        <v>0</v>
      </c>
      <c r="N216" s="273">
        <f>VLOOKUP(A216,HN!A:T,20,FALSE)</f>
        <v>0</v>
      </c>
      <c r="O216" s="273">
        <f>VLOOKUP(A216,EY!A:O,15,FALSE)</f>
        <v>0</v>
      </c>
      <c r="P216" s="273">
        <f>-VLOOKUP(A216,Adjustments!A:M,11,FALSE)</f>
        <v>-9471</v>
      </c>
      <c r="Q216" s="273"/>
      <c r="R216" s="273"/>
      <c r="S216" s="273">
        <f t="shared" si="31"/>
        <v>2276040.4286103775</v>
      </c>
      <c r="T216" s="37"/>
      <c r="U216" s="37">
        <v>189670.03571753146</v>
      </c>
      <c r="V216" s="37">
        <v>189670.03571753146</v>
      </c>
      <c r="W216" s="37">
        <v>189670.03571753146</v>
      </c>
      <c r="X216" s="37">
        <v>189670.04</v>
      </c>
      <c r="Y216" s="37">
        <v>189670.04</v>
      </c>
      <c r="Z216" s="37">
        <f t="shared" si="32"/>
        <v>189670.0351822229</v>
      </c>
      <c r="AA216" s="37">
        <f t="shared" si="27"/>
        <v>189670.03</v>
      </c>
      <c r="AB216" s="37">
        <f t="shared" si="27"/>
        <v>189670.03</v>
      </c>
      <c r="AC216" s="37">
        <f t="shared" si="27"/>
        <v>189670.03</v>
      </c>
      <c r="AD216" s="37">
        <f t="shared" si="27"/>
        <v>189670.03</v>
      </c>
      <c r="AE216" s="37">
        <f t="shared" si="27"/>
        <v>189670.03</v>
      </c>
      <c r="AF216" s="37">
        <f t="shared" si="28"/>
        <v>189670.05627556005</v>
      </c>
      <c r="AG216" s="37">
        <f t="shared" si="29"/>
        <v>2276040.4286103775</v>
      </c>
      <c r="AH216" s="37" t="b">
        <f t="shared" si="30"/>
        <v>1</v>
      </c>
      <c r="AI216" s="37"/>
      <c r="AJ216" s="37"/>
      <c r="AK216" s="37"/>
      <c r="AL216" s="37"/>
      <c r="AM216" s="37"/>
      <c r="AN216" s="37"/>
      <c r="AO216" s="37"/>
      <c r="AP216" s="207"/>
      <c r="AR216" s="37"/>
      <c r="AS216" s="37"/>
      <c r="AT216" s="37"/>
      <c r="AU216" s="37"/>
      <c r="AV216" s="37"/>
      <c r="AW216" s="37"/>
      <c r="AX216" s="37"/>
      <c r="AY216" s="37"/>
      <c r="AZ216" s="37"/>
      <c r="BA216" s="64"/>
    </row>
    <row r="217" spans="1:53">
      <c r="A217" s="231">
        <v>2317</v>
      </c>
      <c r="B217" s="4">
        <v>103337</v>
      </c>
      <c r="C217" s="4" t="s">
        <v>574</v>
      </c>
      <c r="D217" s="4" t="s">
        <v>575</v>
      </c>
      <c r="E217" s="213" t="s">
        <v>5</v>
      </c>
      <c r="F217" s="248" t="s">
        <v>415</v>
      </c>
      <c r="G217" s="37"/>
      <c r="H217" s="272">
        <f>_xlfn.IFNA(VLOOKUP(A217,ISB!$A$4:$BY$454,67,FALSE),0)</f>
        <v>1450391.0850722471</v>
      </c>
      <c r="I217" s="272">
        <f>_xlfn.IFNA(VLOOKUP(A217,ISB!$A$4:$BY$454,72,FALSE),0)</f>
        <v>-6392.85</v>
      </c>
      <c r="J217" s="273">
        <f>-_xlfn.IFNA(VLOOKUP(A217,ISB!$A$4:$BY$454,76,FALSE),0)</f>
        <v>-15383.153</v>
      </c>
      <c r="K217" s="273">
        <f>_xlfn.IFNA(VLOOKUP(A217,ISB!$A$4:$BY$454,77,FALSE),0)</f>
        <v>1428615.0820722471</v>
      </c>
      <c r="L217" s="273">
        <f>_xlfn.IFNA(VLOOKUP(A217,'Post 16'!A:AC,13,FALSE),0)+(_xlfn.IFNA(VLOOKUP(A217,'Post 16'!A:AC,25,FALSE),0))</f>
        <v>0</v>
      </c>
      <c r="M217" s="273">
        <f>VLOOKUP(A217,HN!A:P,16,FALSE)</f>
        <v>0</v>
      </c>
      <c r="N217" s="273">
        <f>VLOOKUP(A217,HN!A:T,20,FALSE)</f>
        <v>34543.269230769234</v>
      </c>
      <c r="O217" s="273">
        <f>VLOOKUP(A217,EY!A:O,15,FALSE)</f>
        <v>248281.5</v>
      </c>
      <c r="P217" s="273">
        <f>-VLOOKUP(A217,Adjustments!A:M,11,FALSE)</f>
        <v>-5139.75</v>
      </c>
      <c r="Q217" s="273"/>
      <c r="R217" s="273"/>
      <c r="S217" s="273">
        <f t="shared" si="31"/>
        <v>1706300.1013030163</v>
      </c>
      <c r="T217" s="37"/>
      <c r="U217" s="37">
        <v>137658.00780089237</v>
      </c>
      <c r="V217" s="37">
        <v>137658.00780089237</v>
      </c>
      <c r="W217" s="37">
        <v>137658.00780089237</v>
      </c>
      <c r="X217" s="37">
        <v>151379.18307692307</v>
      </c>
      <c r="Y217" s="37">
        <v>142743.35999999999</v>
      </c>
      <c r="Z217" s="37">
        <f t="shared" si="32"/>
        <v>142743.36185292702</v>
      </c>
      <c r="AA217" s="37">
        <f t="shared" si="27"/>
        <v>142743.35999999999</v>
      </c>
      <c r="AB217" s="37">
        <f t="shared" si="27"/>
        <v>142743.35999999999</v>
      </c>
      <c r="AC217" s="37">
        <f t="shared" si="27"/>
        <v>142743.35999999999</v>
      </c>
      <c r="AD217" s="37">
        <f t="shared" si="27"/>
        <v>142743.35999999999</v>
      </c>
      <c r="AE217" s="37">
        <f t="shared" si="27"/>
        <v>142743.35999999999</v>
      </c>
      <c r="AF217" s="37">
        <f t="shared" si="28"/>
        <v>142743.37297048932</v>
      </c>
      <c r="AG217" s="37">
        <f t="shared" si="29"/>
        <v>1706300.1013030163</v>
      </c>
      <c r="AH217" s="37" t="b">
        <f t="shared" si="30"/>
        <v>1</v>
      </c>
      <c r="AI217" s="37"/>
      <c r="AJ217" s="37"/>
      <c r="AK217" s="37"/>
      <c r="AL217" s="37"/>
      <c r="AM217" s="37"/>
      <c r="AN217" s="37"/>
      <c r="AO217" s="37"/>
      <c r="AP217" s="207"/>
      <c r="AR217" s="37"/>
      <c r="AS217" s="37"/>
      <c r="AT217" s="37"/>
      <c r="AU217" s="37"/>
      <c r="AV217" s="37"/>
      <c r="AW217" s="37"/>
      <c r="AX217" s="37"/>
      <c r="AY217" s="37"/>
      <c r="AZ217" s="37"/>
      <c r="BA217" s="64"/>
    </row>
    <row r="218" spans="1:53">
      <c r="A218" s="231">
        <v>3421</v>
      </c>
      <c r="B218" s="4">
        <v>133996</v>
      </c>
      <c r="C218" s="4" t="s">
        <v>577</v>
      </c>
      <c r="D218" s="4" t="s">
        <v>578</v>
      </c>
      <c r="E218" s="213" t="s">
        <v>5</v>
      </c>
      <c r="F218" s="248" t="s">
        <v>415</v>
      </c>
      <c r="G218" s="37"/>
      <c r="H218" s="272">
        <f>_xlfn.IFNA(VLOOKUP(A218,ISB!$A$4:$BY$454,67,FALSE),0)</f>
        <v>4035551.9390033823</v>
      </c>
      <c r="I218" s="272">
        <f>_xlfn.IFNA(VLOOKUP(A218,ISB!$A$4:$BY$454,72,FALSE),0)</f>
        <v>-20833.170000000002</v>
      </c>
      <c r="J218" s="273">
        <f>-_xlfn.IFNA(VLOOKUP(A218,ISB!$A$4:$BY$454,76,FALSE),0)</f>
        <v>-32542.0157</v>
      </c>
      <c r="K218" s="273">
        <f>_xlfn.IFNA(VLOOKUP(A218,ISB!$A$4:$BY$454,77,FALSE),0)</f>
        <v>3982176.7533033825</v>
      </c>
      <c r="L218" s="273">
        <f>_xlfn.IFNA(VLOOKUP(A218,'Post 16'!A:AC,13,FALSE),0)+(_xlfn.IFNA(VLOOKUP(A218,'Post 16'!A:AC,25,FALSE),0))</f>
        <v>0</v>
      </c>
      <c r="M218" s="273">
        <f>VLOOKUP(A218,HN!A:P,16,FALSE)</f>
        <v>0</v>
      </c>
      <c r="N218" s="273">
        <f>VLOOKUP(A218,HN!A:T,20,FALSE)</f>
        <v>0</v>
      </c>
      <c r="O218" s="273">
        <f>VLOOKUP(A218,EY!A:O,15,FALSE)</f>
        <v>0</v>
      </c>
      <c r="P218" s="273">
        <f>-VLOOKUP(A218,Adjustments!A:M,11,FALSE)</f>
        <v>-24312.75</v>
      </c>
      <c r="Q218" s="273"/>
      <c r="R218" s="273"/>
      <c r="S218" s="273">
        <f t="shared" si="31"/>
        <v>3957864.0033033825</v>
      </c>
      <c r="T218" s="37"/>
      <c r="U218" s="37">
        <v>329822.0002752819</v>
      </c>
      <c r="V218" s="37">
        <v>329822.0002752819</v>
      </c>
      <c r="W218" s="37">
        <v>329822.0002752819</v>
      </c>
      <c r="X218" s="37">
        <v>329822</v>
      </c>
      <c r="Y218" s="37">
        <v>329822</v>
      </c>
      <c r="Z218" s="37">
        <f t="shared" si="32"/>
        <v>329822.00030969211</v>
      </c>
      <c r="AA218" s="37">
        <f t="shared" si="27"/>
        <v>329822</v>
      </c>
      <c r="AB218" s="37">
        <f t="shared" si="27"/>
        <v>329822</v>
      </c>
      <c r="AC218" s="37">
        <f t="shared" si="27"/>
        <v>329822</v>
      </c>
      <c r="AD218" s="37">
        <f t="shared" si="27"/>
        <v>329822</v>
      </c>
      <c r="AE218" s="37">
        <f t="shared" si="27"/>
        <v>329822</v>
      </c>
      <c r="AF218" s="37">
        <f t="shared" si="28"/>
        <v>329822.00216784468</v>
      </c>
      <c r="AG218" s="37">
        <f t="shared" si="29"/>
        <v>3957864.0033033825</v>
      </c>
      <c r="AH218" s="37" t="b">
        <f t="shared" si="30"/>
        <v>1</v>
      </c>
      <c r="AI218" s="37"/>
      <c r="AJ218" s="37"/>
      <c r="AK218" s="37"/>
      <c r="AL218" s="37"/>
      <c r="AM218" s="37"/>
      <c r="AN218" s="37"/>
      <c r="AO218" s="37"/>
      <c r="AP218" s="207"/>
      <c r="AR218" s="37"/>
      <c r="AS218" s="37"/>
      <c r="AT218" s="37"/>
      <c r="AU218" s="37"/>
      <c r="AV218" s="37"/>
      <c r="AW218" s="37"/>
      <c r="AX218" s="37"/>
      <c r="AY218" s="37"/>
      <c r="AZ218" s="37"/>
      <c r="BA218" s="64"/>
    </row>
    <row r="219" spans="1:53">
      <c r="A219" s="231">
        <v>2184</v>
      </c>
      <c r="B219" s="4">
        <v>103262</v>
      </c>
      <c r="C219" s="4" t="s">
        <v>824</v>
      </c>
      <c r="D219" s="4" t="s">
        <v>825</v>
      </c>
      <c r="E219" s="213" t="s">
        <v>5</v>
      </c>
      <c r="F219" s="248" t="s">
        <v>415</v>
      </c>
      <c r="G219" s="37"/>
      <c r="H219" s="272">
        <f>_xlfn.IFNA(VLOOKUP(A219,ISB!$A$4:$BY$454,67,FALSE),0)</f>
        <v>2182433.2909211465</v>
      </c>
      <c r="I219" s="272">
        <f>_xlfn.IFNA(VLOOKUP(A219,ISB!$A$4:$BY$454,72,FALSE),0)</f>
        <v>-10303.77</v>
      </c>
      <c r="J219" s="273">
        <f>-_xlfn.IFNA(VLOOKUP(A219,ISB!$A$4:$BY$454,76,FALSE),0)</f>
        <v>-30739.814399999999</v>
      </c>
      <c r="K219" s="273">
        <f>_xlfn.IFNA(VLOOKUP(A219,ISB!$A$4:$BY$454,77,FALSE),0)</f>
        <v>2141389.7065211465</v>
      </c>
      <c r="L219" s="273">
        <f>_xlfn.IFNA(VLOOKUP(A219,'Post 16'!A:AC,13,FALSE),0)+(_xlfn.IFNA(VLOOKUP(A219,'Post 16'!A:AC,25,FALSE),0))</f>
        <v>0</v>
      </c>
      <c r="M219" s="273">
        <f>VLOOKUP(A219,HN!A:P,16,FALSE)</f>
        <v>0</v>
      </c>
      <c r="N219" s="273">
        <f>VLOOKUP(A219,HN!A:T,20,FALSE)</f>
        <v>0</v>
      </c>
      <c r="O219" s="273">
        <f>VLOOKUP(A219,EY!A:O,15,FALSE)</f>
        <v>71505.299999999988</v>
      </c>
      <c r="P219" s="273">
        <f>-VLOOKUP(A219,Adjustments!A:M,11,FALSE)</f>
        <v>-9471</v>
      </c>
      <c r="Q219" s="273"/>
      <c r="R219" s="273"/>
      <c r="S219" s="273">
        <f t="shared" si="31"/>
        <v>2203424.0065211463</v>
      </c>
      <c r="T219" s="37"/>
      <c r="U219" s="37">
        <v>182343.77481879119</v>
      </c>
      <c r="V219" s="37">
        <v>182343.77481879119</v>
      </c>
      <c r="W219" s="37">
        <v>182343.77481879119</v>
      </c>
      <c r="X219" s="37">
        <v>184043.63</v>
      </c>
      <c r="Y219" s="37">
        <v>184043.63</v>
      </c>
      <c r="Z219" s="37">
        <f t="shared" si="32"/>
        <v>184043.63150809659</v>
      </c>
      <c r="AA219" s="37">
        <f t="shared" si="27"/>
        <v>184043.63</v>
      </c>
      <c r="AB219" s="37">
        <f t="shared" si="27"/>
        <v>184043.63</v>
      </c>
      <c r="AC219" s="37">
        <f t="shared" si="27"/>
        <v>184043.63</v>
      </c>
      <c r="AD219" s="37">
        <f t="shared" si="27"/>
        <v>184043.63</v>
      </c>
      <c r="AE219" s="37">
        <f t="shared" si="27"/>
        <v>184043.63</v>
      </c>
      <c r="AF219" s="37">
        <f t="shared" si="28"/>
        <v>184043.64055667678</v>
      </c>
      <c r="AG219" s="37">
        <f t="shared" si="29"/>
        <v>2203424.0065211463</v>
      </c>
      <c r="AH219" s="37" t="b">
        <f t="shared" si="30"/>
        <v>1</v>
      </c>
      <c r="AI219" s="37"/>
      <c r="AJ219" s="37"/>
      <c r="AK219" s="37"/>
      <c r="AL219" s="37"/>
      <c r="AM219" s="37"/>
      <c r="AN219" s="37"/>
      <c r="AO219" s="37"/>
      <c r="AP219" s="207"/>
      <c r="AR219" s="37"/>
      <c r="AS219" s="37"/>
      <c r="AT219" s="37"/>
      <c r="AU219" s="37"/>
      <c r="AV219" s="37"/>
      <c r="AW219" s="37"/>
      <c r="AX219" s="37"/>
      <c r="AY219" s="37"/>
      <c r="AZ219" s="37"/>
      <c r="BA219" s="64"/>
    </row>
    <row r="220" spans="1:53" s="224" customFormat="1" ht="15" thickBot="1">
      <c r="A220" s="235"/>
      <c r="B220" s="220"/>
      <c r="C220" s="220"/>
      <c r="D220" s="227" t="s">
        <v>1095</v>
      </c>
      <c r="E220" s="221"/>
      <c r="F220" s="250"/>
      <c r="G220" s="37"/>
      <c r="H220" s="275">
        <f>SUM(H74:H219)</f>
        <v>215790259.20160156</v>
      </c>
      <c r="I220" s="275">
        <f t="shared" ref="I220:S220" si="33">SUM(I74:I219)</f>
        <v>-967335.4700000002</v>
      </c>
      <c r="J220" s="275">
        <f t="shared" si="33"/>
        <v>-2623311.0170000005</v>
      </c>
      <c r="K220" s="275">
        <f t="shared" si="33"/>
        <v>212199612.71460164</v>
      </c>
      <c r="L220" s="275">
        <f t="shared" si="33"/>
        <v>0</v>
      </c>
      <c r="M220" s="275">
        <f t="shared" si="33"/>
        <v>44449716.951943353</v>
      </c>
      <c r="N220" s="275">
        <f t="shared" si="33"/>
        <v>2711695.6017326922</v>
      </c>
      <c r="O220" s="275">
        <f t="shared" si="33"/>
        <v>24101567.194666672</v>
      </c>
      <c r="P220" s="275">
        <f t="shared" si="33"/>
        <v>-1005316.6500000001</v>
      </c>
      <c r="Q220" s="275">
        <f t="shared" si="33"/>
        <v>0</v>
      </c>
      <c r="R220" s="275">
        <f t="shared" si="33"/>
        <v>-37932.870000000003</v>
      </c>
      <c r="S220" s="275">
        <f t="shared" si="33"/>
        <v>282419342.94294447</v>
      </c>
      <c r="T220" s="269"/>
      <c r="U220" s="260">
        <f>SUM(U74:U219)</f>
        <v>21932345.737016462</v>
      </c>
      <c r="V220" s="260">
        <f t="shared" ref="V220:AL220" si="34">SUM(V74:V219)</f>
        <v>21932345.737016462</v>
      </c>
      <c r="W220" s="260">
        <f t="shared" si="34"/>
        <v>21932345.737016462</v>
      </c>
      <c r="X220" s="260">
        <f t="shared" si="34"/>
        <v>23304429.17391089</v>
      </c>
      <c r="Y220" s="260">
        <f t="shared" si="34"/>
        <v>24166528.249999996</v>
      </c>
      <c r="Z220" s="260">
        <f t="shared" si="34"/>
        <v>24164734.570416123</v>
      </c>
      <c r="AA220" s="260">
        <f t="shared" si="34"/>
        <v>24164478.339999992</v>
      </c>
      <c r="AB220" s="260">
        <f t="shared" si="34"/>
        <v>24164478.339999992</v>
      </c>
      <c r="AC220" s="260">
        <f t="shared" si="34"/>
        <v>24164478.339999992</v>
      </c>
      <c r="AD220" s="260">
        <f t="shared" si="34"/>
        <v>24164478.339999992</v>
      </c>
      <c r="AE220" s="260">
        <f t="shared" si="34"/>
        <v>24164478.339999992</v>
      </c>
      <c r="AF220" s="260">
        <f t="shared" si="34"/>
        <v>24164222.037567865</v>
      </c>
      <c r="AG220" s="260">
        <f t="shared" si="34"/>
        <v>282419342.94294447</v>
      </c>
      <c r="AH220" s="260">
        <f t="shared" si="34"/>
        <v>0</v>
      </c>
      <c r="AI220" s="260">
        <f t="shared" si="34"/>
        <v>0</v>
      </c>
      <c r="AJ220" s="260">
        <f t="shared" si="34"/>
        <v>0</v>
      </c>
      <c r="AK220" s="260">
        <f t="shared" si="34"/>
        <v>0</v>
      </c>
      <c r="AL220" s="260">
        <f t="shared" si="34"/>
        <v>0</v>
      </c>
      <c r="AM220" s="222"/>
      <c r="AN220" s="222"/>
      <c r="AO220" s="222"/>
      <c r="AP220" s="223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5"/>
    </row>
    <row r="221" spans="1:53" ht="15" thickTop="1">
      <c r="A221" s="231"/>
      <c r="B221" s="4"/>
      <c r="C221" s="4"/>
      <c r="D221" s="4"/>
      <c r="E221" s="4"/>
      <c r="F221" s="232"/>
      <c r="H221" s="271"/>
      <c r="I221" s="271"/>
      <c r="J221" s="271"/>
      <c r="K221" s="271"/>
      <c r="L221" s="271"/>
      <c r="M221" s="271"/>
      <c r="N221" s="271"/>
      <c r="O221" s="271"/>
      <c r="P221" s="271"/>
      <c r="Q221" s="271"/>
      <c r="R221" s="271"/>
      <c r="S221" s="271"/>
      <c r="BA221" s="64"/>
    </row>
    <row r="222" spans="1:53" ht="15" thickBot="1">
      <c r="A222" s="237"/>
      <c r="B222" s="238"/>
      <c r="C222" s="238"/>
      <c r="D222" s="239"/>
      <c r="E222" s="251"/>
      <c r="F222" s="252"/>
      <c r="G222" s="253" t="s">
        <v>1097</v>
      </c>
      <c r="H222" s="276">
        <f>H72+H220</f>
        <v>394965125.35327023</v>
      </c>
      <c r="I222" s="276">
        <f t="shared" ref="I222:AF222" si="35">I72+I220</f>
        <v>-1610594.29</v>
      </c>
      <c r="J222" s="276">
        <f t="shared" si="35"/>
        <v>-5009008.3366999999</v>
      </c>
      <c r="K222" s="276">
        <f t="shared" si="35"/>
        <v>388345522.72657037</v>
      </c>
      <c r="L222" s="276">
        <f t="shared" si="35"/>
        <v>9286653.333333334</v>
      </c>
      <c r="M222" s="276">
        <f t="shared" si="35"/>
        <v>77087254.465912223</v>
      </c>
      <c r="N222" s="276">
        <f t="shared" si="35"/>
        <v>4003974.1635576924</v>
      </c>
      <c r="O222" s="276">
        <f t="shared" si="35"/>
        <v>28858217.018000007</v>
      </c>
      <c r="P222" s="276">
        <f t="shared" si="35"/>
        <v>-1702606.9500000002</v>
      </c>
      <c r="Q222" s="276">
        <f t="shared" si="35"/>
        <v>-2100671.2776414286</v>
      </c>
      <c r="R222" s="276">
        <f t="shared" si="35"/>
        <v>-59564.25</v>
      </c>
      <c r="S222" s="276">
        <f t="shared" si="35"/>
        <v>503718779.22973216</v>
      </c>
      <c r="T222" s="208"/>
      <c r="U222" s="208">
        <f t="shared" si="35"/>
        <v>40245673.12468715</v>
      </c>
      <c r="V222" s="208">
        <f t="shared" si="35"/>
        <v>40245673.12468715</v>
      </c>
      <c r="W222" s="208">
        <f t="shared" si="35"/>
        <v>40245673.12468715</v>
      </c>
      <c r="X222" s="208">
        <f t="shared" si="35"/>
        <v>42099968.77451922</v>
      </c>
      <c r="Y222" s="208">
        <f t="shared" si="35"/>
        <v>42638998.249999993</v>
      </c>
      <c r="Z222" s="208">
        <f t="shared" si="35"/>
        <v>42606369.51041612</v>
      </c>
      <c r="AA222" s="208">
        <f t="shared" si="35"/>
        <v>42606113.279999994</v>
      </c>
      <c r="AB222" s="208">
        <f t="shared" si="35"/>
        <v>42606113.279999994</v>
      </c>
      <c r="AC222" s="208">
        <f t="shared" si="35"/>
        <v>42606113.279999994</v>
      </c>
      <c r="AD222" s="208">
        <f t="shared" si="35"/>
        <v>42606113.279999994</v>
      </c>
      <c r="AE222" s="208">
        <f t="shared" si="35"/>
        <v>42606113.279999994</v>
      </c>
      <c r="AF222" s="208">
        <f t="shared" si="35"/>
        <v>42605856.920735247</v>
      </c>
      <c r="AG222" s="208">
        <f t="shared" ref="AG222:AP222" si="36">SUM(AG7:AG219)</f>
        <v>723693827.07791984</v>
      </c>
      <c r="AH222" s="208">
        <f t="shared" si="36"/>
        <v>0</v>
      </c>
      <c r="AI222" s="208">
        <f t="shared" si="36"/>
        <v>0</v>
      </c>
      <c r="AJ222" s="208">
        <f t="shared" si="36"/>
        <v>0</v>
      </c>
      <c r="AK222" s="208">
        <f t="shared" si="36"/>
        <v>0</v>
      </c>
      <c r="AL222" s="208">
        <f t="shared" si="36"/>
        <v>0</v>
      </c>
      <c r="AM222" s="208">
        <f t="shared" si="36"/>
        <v>0</v>
      </c>
      <c r="AN222" s="208">
        <f t="shared" si="36"/>
        <v>0</v>
      </c>
      <c r="AO222" s="208">
        <f t="shared" si="36"/>
        <v>0</v>
      </c>
      <c r="AP222" s="208">
        <f t="shared" si="36"/>
        <v>0</v>
      </c>
      <c r="AR222" s="208">
        <f>SUM(AR8:AR219)</f>
        <v>0</v>
      </c>
      <c r="AS222" s="208">
        <f t="shared" ref="AS222:BA222" si="37">SUM(AS8:AS219)</f>
        <v>0</v>
      </c>
      <c r="AT222" s="208">
        <f t="shared" si="37"/>
        <v>0</v>
      </c>
      <c r="AU222" s="208">
        <f t="shared" si="37"/>
        <v>0</v>
      </c>
      <c r="AV222" s="208">
        <f t="shared" si="37"/>
        <v>0</v>
      </c>
      <c r="AW222" s="208">
        <f t="shared" si="37"/>
        <v>0</v>
      </c>
      <c r="AX222" s="208">
        <f t="shared" si="37"/>
        <v>0</v>
      </c>
      <c r="AY222" s="208">
        <f t="shared" si="37"/>
        <v>0</v>
      </c>
      <c r="AZ222" s="208">
        <f t="shared" si="37"/>
        <v>0</v>
      </c>
      <c r="BA222" s="208">
        <f t="shared" si="37"/>
        <v>0</v>
      </c>
    </row>
    <row r="223" spans="1:53">
      <c r="BA223" s="37"/>
    </row>
    <row r="224" spans="1:53">
      <c r="BA224" s="37"/>
    </row>
    <row r="225" spans="53:53">
      <c r="BA225" s="37"/>
    </row>
    <row r="226" spans="53:53">
      <c r="BA226" s="37"/>
    </row>
    <row r="227" spans="53:53">
      <c r="BA227" s="37"/>
    </row>
    <row r="228" spans="53:53">
      <c r="BA228" s="37"/>
    </row>
    <row r="229" spans="53:53">
      <c r="BA229" s="37"/>
    </row>
    <row r="230" spans="53:53">
      <c r="BA230" s="37"/>
    </row>
  </sheetData>
  <autoFilter ref="A7:FE220" xr:uid="{28D720FD-B264-4603-8A3F-AC523F45178E}"/>
  <mergeCells count="1">
    <mergeCell ref="K6:S6"/>
  </mergeCells>
  <conditionalFormatting sqref="A7:F7 Q7:AB7 AP7:AP205 A8:E8 E9:E205 E207:E220 AP207:AP220">
    <cfRule type="cellIs" dxfId="12" priority="2" operator="lessThan">
      <formula>0</formula>
    </cfRule>
  </conditionalFormatting>
  <hyperlinks>
    <hyperlink ref="P4" r:id="rId1" xr:uid="{646DEA72-8747-4F75-905A-418C2825033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4FC59-A7D2-4F54-8D8D-8CE8D025D01A}">
  <dimension ref="A1:AB228"/>
  <sheetViews>
    <sheetView zoomScale="80" zoomScaleNormal="80" workbookViewId="0">
      <selection activeCell="O17" sqref="O17"/>
    </sheetView>
  </sheetViews>
  <sheetFormatPr defaultRowHeight="14.5"/>
  <cols>
    <col min="1" max="1" width="6.54296875" customWidth="1"/>
    <col min="2" max="2" width="7.7265625" bestFit="1" customWidth="1"/>
    <col min="3" max="3" width="11" bestFit="1" customWidth="1"/>
    <col min="4" max="4" width="66.26953125" customWidth="1"/>
    <col min="5" max="5" width="17" bestFit="1" customWidth="1"/>
    <col min="6" max="6" width="14.54296875" bestFit="1" customWidth="1"/>
    <col min="7" max="17" width="14.7265625" customWidth="1"/>
    <col min="18" max="18" width="3.26953125" bestFit="1" customWidth="1"/>
    <col min="19" max="28" width="14.7265625" customWidth="1"/>
  </cols>
  <sheetData>
    <row r="1" spans="1:28">
      <c r="A1" s="1" t="s">
        <v>1106</v>
      </c>
      <c r="B1" s="1"/>
    </row>
    <row r="2" spans="1:28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</row>
    <row r="3" spans="1:28">
      <c r="G3" s="72" t="s">
        <v>110</v>
      </c>
      <c r="H3" s="4" t="s">
        <v>64</v>
      </c>
      <c r="I3" s="4"/>
      <c r="J3" s="4"/>
      <c r="K3" s="4" t="s">
        <v>64</v>
      </c>
      <c r="L3" s="4"/>
      <c r="M3" s="4"/>
      <c r="N3" s="4" t="s">
        <v>61</v>
      </c>
      <c r="O3" s="4" t="s">
        <v>61</v>
      </c>
      <c r="P3" s="4" t="s">
        <v>61</v>
      </c>
      <c r="Q3" s="4"/>
    </row>
    <row r="4" spans="1:28">
      <c r="G4" s="72" t="s">
        <v>858</v>
      </c>
      <c r="H4" s="4"/>
      <c r="I4" s="4"/>
      <c r="J4" s="4"/>
      <c r="K4" s="4"/>
      <c r="L4" s="4"/>
      <c r="M4" s="4"/>
      <c r="N4" s="4"/>
      <c r="O4" s="4"/>
      <c r="P4" s="4"/>
      <c r="Q4" s="4"/>
    </row>
    <row r="5" spans="1:28" ht="15" thickBot="1">
      <c r="H5" t="s">
        <v>1190</v>
      </c>
      <c r="K5" t="s">
        <v>1190</v>
      </c>
      <c r="N5" t="s">
        <v>1190</v>
      </c>
      <c r="P5" t="s">
        <v>1190</v>
      </c>
    </row>
    <row r="6" spans="1:28" ht="29.5" thickBot="1">
      <c r="A6" s="196" t="s">
        <v>0</v>
      </c>
      <c r="B6" s="197" t="s">
        <v>7</v>
      </c>
      <c r="C6" s="198" t="s">
        <v>1</v>
      </c>
      <c r="D6" s="199" t="s">
        <v>2</v>
      </c>
      <c r="E6" s="228" t="s">
        <v>1091</v>
      </c>
      <c r="F6" s="199" t="s">
        <v>1092</v>
      </c>
      <c r="G6" s="241"/>
      <c r="H6" s="246" t="s">
        <v>1191</v>
      </c>
      <c r="I6" s="197"/>
      <c r="J6" s="197"/>
      <c r="K6" s="200" t="s">
        <v>1204</v>
      </c>
      <c r="L6" s="198"/>
      <c r="M6" s="198"/>
      <c r="N6" s="200" t="s">
        <v>1210</v>
      </c>
      <c r="O6" s="198" t="s">
        <v>1211</v>
      </c>
      <c r="P6" s="200" t="s">
        <v>1212</v>
      </c>
      <c r="Q6" s="199" t="s">
        <v>94</v>
      </c>
      <c r="S6" s="201" t="s">
        <v>61</v>
      </c>
      <c r="T6" s="202" t="s">
        <v>62</v>
      </c>
      <c r="U6" s="202" t="s">
        <v>79</v>
      </c>
      <c r="V6" s="202" t="s">
        <v>80</v>
      </c>
      <c r="W6" s="202" t="s">
        <v>136</v>
      </c>
      <c r="X6" s="202" t="s">
        <v>113</v>
      </c>
      <c r="Y6" s="202" t="s">
        <v>112</v>
      </c>
      <c r="Z6" s="202" t="s">
        <v>111</v>
      </c>
      <c r="AA6" s="203" t="s">
        <v>81</v>
      </c>
      <c r="AB6" s="204" t="s">
        <v>862</v>
      </c>
    </row>
    <row r="7" spans="1:28">
      <c r="A7" s="230">
        <v>1017</v>
      </c>
      <c r="B7" s="205">
        <v>103130</v>
      </c>
      <c r="C7" s="205" t="s">
        <v>232</v>
      </c>
      <c r="D7" s="205" t="s">
        <v>233</v>
      </c>
      <c r="E7" s="205" t="s">
        <v>180</v>
      </c>
      <c r="F7" s="243" t="s">
        <v>229</v>
      </c>
      <c r="G7" s="242"/>
      <c r="H7" s="244">
        <v>0</v>
      </c>
      <c r="I7" s="244"/>
      <c r="J7" s="244"/>
      <c r="K7" s="244">
        <v>32802.5</v>
      </c>
      <c r="L7" s="244"/>
      <c r="M7" s="244"/>
      <c r="N7" s="244">
        <v>0</v>
      </c>
      <c r="O7" s="244">
        <v>0</v>
      </c>
      <c r="P7" s="213">
        <v>0</v>
      </c>
      <c r="Q7" s="245">
        <f t="shared" ref="Q7:Q38" si="0">SUM(H7:P7)</f>
        <v>32802.5</v>
      </c>
      <c r="S7" s="37">
        <f t="shared" ref="S7:AA16" si="1">SUMIF($H$3:$P$3,S$6,$H7:$P7)</f>
        <v>0</v>
      </c>
      <c r="T7" s="37">
        <f t="shared" si="1"/>
        <v>0</v>
      </c>
      <c r="U7" s="37">
        <f t="shared" si="1"/>
        <v>0</v>
      </c>
      <c r="V7" s="37">
        <f t="shared" si="1"/>
        <v>0</v>
      </c>
      <c r="W7" s="37">
        <f t="shared" si="1"/>
        <v>0</v>
      </c>
      <c r="X7" s="37">
        <f t="shared" si="1"/>
        <v>0</v>
      </c>
      <c r="Y7" s="37">
        <f t="shared" si="1"/>
        <v>0</v>
      </c>
      <c r="Z7" s="37">
        <f t="shared" si="1"/>
        <v>0</v>
      </c>
      <c r="AA7" s="37">
        <f t="shared" si="1"/>
        <v>0</v>
      </c>
      <c r="AB7" s="64">
        <f t="shared" ref="AB7:AB38" si="2">SUM(H7:P7)-Q7</f>
        <v>0</v>
      </c>
    </row>
    <row r="8" spans="1:28">
      <c r="A8" s="231">
        <v>2300</v>
      </c>
      <c r="B8" s="4">
        <v>103324</v>
      </c>
      <c r="C8" s="4" t="s">
        <v>235</v>
      </c>
      <c r="D8" s="4" t="s">
        <v>236</v>
      </c>
      <c r="E8" s="4" t="s">
        <v>5</v>
      </c>
      <c r="F8" s="232" t="s">
        <v>229</v>
      </c>
      <c r="H8" s="244">
        <v>0</v>
      </c>
      <c r="I8" s="244"/>
      <c r="J8" s="244"/>
      <c r="K8" s="244">
        <v>84786.5</v>
      </c>
      <c r="L8" s="244"/>
      <c r="M8" s="244"/>
      <c r="N8" s="244">
        <v>0</v>
      </c>
      <c r="O8" s="244">
        <v>0</v>
      </c>
      <c r="P8" s="213">
        <v>0</v>
      </c>
      <c r="Q8" s="229">
        <f t="shared" si="0"/>
        <v>84786.5</v>
      </c>
      <c r="S8" s="37">
        <f t="shared" si="1"/>
        <v>0</v>
      </c>
      <c r="T8" s="37">
        <f t="shared" si="1"/>
        <v>0</v>
      </c>
      <c r="U8" s="37">
        <f t="shared" si="1"/>
        <v>0</v>
      </c>
      <c r="V8" s="37">
        <f t="shared" si="1"/>
        <v>0</v>
      </c>
      <c r="W8" s="37">
        <f t="shared" si="1"/>
        <v>0</v>
      </c>
      <c r="X8" s="37">
        <f t="shared" si="1"/>
        <v>0</v>
      </c>
      <c r="Y8" s="37">
        <f t="shared" si="1"/>
        <v>0</v>
      </c>
      <c r="Z8" s="37">
        <f t="shared" si="1"/>
        <v>0</v>
      </c>
      <c r="AA8" s="37">
        <f t="shared" si="1"/>
        <v>0</v>
      </c>
      <c r="AB8" s="64">
        <f t="shared" si="2"/>
        <v>0</v>
      </c>
    </row>
    <row r="9" spans="1:28">
      <c r="A9" s="231">
        <v>7016</v>
      </c>
      <c r="B9" s="4">
        <v>103606</v>
      </c>
      <c r="C9" s="4" t="s">
        <v>238</v>
      </c>
      <c r="D9" s="4" t="s">
        <v>239</v>
      </c>
      <c r="E9" s="4" t="s">
        <v>1093</v>
      </c>
      <c r="F9" s="232" t="s">
        <v>229</v>
      </c>
      <c r="H9" s="244">
        <v>37800</v>
      </c>
      <c r="I9" s="244"/>
      <c r="J9" s="244"/>
      <c r="K9" s="244">
        <v>0</v>
      </c>
      <c r="L9" s="244"/>
      <c r="M9" s="244"/>
      <c r="N9" s="244">
        <v>0</v>
      </c>
      <c r="O9" s="244">
        <v>0</v>
      </c>
      <c r="P9" s="213">
        <v>0</v>
      </c>
      <c r="Q9" s="229">
        <f t="shared" si="0"/>
        <v>37800</v>
      </c>
      <c r="S9" s="37">
        <f t="shared" si="1"/>
        <v>0</v>
      </c>
      <c r="T9" s="37">
        <f t="shared" si="1"/>
        <v>0</v>
      </c>
      <c r="U9" s="37">
        <f t="shared" si="1"/>
        <v>0</v>
      </c>
      <c r="V9" s="37">
        <f t="shared" si="1"/>
        <v>0</v>
      </c>
      <c r="W9" s="37">
        <f t="shared" si="1"/>
        <v>0</v>
      </c>
      <c r="X9" s="37">
        <f t="shared" si="1"/>
        <v>0</v>
      </c>
      <c r="Y9" s="37">
        <f t="shared" si="1"/>
        <v>0</v>
      </c>
      <c r="Z9" s="37">
        <f t="shared" si="1"/>
        <v>0</v>
      </c>
      <c r="AA9" s="37">
        <f t="shared" si="1"/>
        <v>0</v>
      </c>
      <c r="AB9" s="64">
        <f t="shared" si="2"/>
        <v>0</v>
      </c>
    </row>
    <row r="10" spans="1:28">
      <c r="A10" s="231">
        <v>5413</v>
      </c>
      <c r="B10" s="4">
        <v>103560</v>
      </c>
      <c r="C10" s="4" t="s">
        <v>241</v>
      </c>
      <c r="D10" s="4" t="s">
        <v>242</v>
      </c>
      <c r="E10" s="4" t="s">
        <v>6</v>
      </c>
      <c r="F10" s="232" t="s">
        <v>229</v>
      </c>
      <c r="H10" s="244">
        <v>0</v>
      </c>
      <c r="I10" s="244"/>
      <c r="J10" s="244"/>
      <c r="K10" s="244">
        <v>31815</v>
      </c>
      <c r="L10" s="244"/>
      <c r="M10" s="244"/>
      <c r="N10" s="244">
        <v>20998.458333333336</v>
      </c>
      <c r="O10" s="244">
        <v>0</v>
      </c>
      <c r="P10" s="213">
        <v>0</v>
      </c>
      <c r="Q10" s="229">
        <f t="shared" si="0"/>
        <v>52813.458333333336</v>
      </c>
      <c r="S10" s="37">
        <f t="shared" si="1"/>
        <v>20998.458333333336</v>
      </c>
      <c r="T10" s="37">
        <f t="shared" si="1"/>
        <v>0</v>
      </c>
      <c r="U10" s="37">
        <f t="shared" si="1"/>
        <v>0</v>
      </c>
      <c r="V10" s="37">
        <f t="shared" si="1"/>
        <v>0</v>
      </c>
      <c r="W10" s="37">
        <f t="shared" si="1"/>
        <v>0</v>
      </c>
      <c r="X10" s="37">
        <f t="shared" si="1"/>
        <v>0</v>
      </c>
      <c r="Y10" s="37">
        <f t="shared" si="1"/>
        <v>0</v>
      </c>
      <c r="Z10" s="37">
        <f t="shared" si="1"/>
        <v>0</v>
      </c>
      <c r="AA10" s="37">
        <f t="shared" si="1"/>
        <v>0</v>
      </c>
      <c r="AB10" s="64">
        <f t="shared" si="2"/>
        <v>0</v>
      </c>
    </row>
    <row r="11" spans="1:28">
      <c r="A11" s="231">
        <v>2402</v>
      </c>
      <c r="B11" s="4">
        <v>103342</v>
      </c>
      <c r="C11" s="4" t="s">
        <v>244</v>
      </c>
      <c r="D11" s="4" t="s">
        <v>245</v>
      </c>
      <c r="E11" s="4" t="s">
        <v>5</v>
      </c>
      <c r="F11" s="232" t="s">
        <v>229</v>
      </c>
      <c r="H11" s="244">
        <v>0</v>
      </c>
      <c r="I11" s="244"/>
      <c r="J11" s="244"/>
      <c r="K11" s="244">
        <v>45616.67</v>
      </c>
      <c r="L11" s="244"/>
      <c r="M11" s="244"/>
      <c r="N11" s="244">
        <v>0</v>
      </c>
      <c r="O11" s="244">
        <v>0</v>
      </c>
      <c r="P11" s="213">
        <v>0</v>
      </c>
      <c r="Q11" s="229">
        <f t="shared" si="0"/>
        <v>45616.67</v>
      </c>
      <c r="S11" s="37">
        <f t="shared" si="1"/>
        <v>0</v>
      </c>
      <c r="T11" s="37">
        <f t="shared" si="1"/>
        <v>0</v>
      </c>
      <c r="U11" s="37">
        <f t="shared" si="1"/>
        <v>0</v>
      </c>
      <c r="V11" s="37">
        <f t="shared" si="1"/>
        <v>0</v>
      </c>
      <c r="W11" s="37">
        <f t="shared" si="1"/>
        <v>0</v>
      </c>
      <c r="X11" s="37">
        <f t="shared" si="1"/>
        <v>0</v>
      </c>
      <c r="Y11" s="37">
        <f t="shared" si="1"/>
        <v>0</v>
      </c>
      <c r="Z11" s="37">
        <f t="shared" si="1"/>
        <v>0</v>
      </c>
      <c r="AA11" s="37">
        <f t="shared" si="1"/>
        <v>0</v>
      </c>
      <c r="AB11" s="64">
        <f t="shared" si="2"/>
        <v>0</v>
      </c>
    </row>
    <row r="12" spans="1:28">
      <c r="A12" s="231">
        <v>2401</v>
      </c>
      <c r="B12" s="4">
        <v>103341</v>
      </c>
      <c r="C12" s="4" t="s">
        <v>247</v>
      </c>
      <c r="D12" s="4" t="s">
        <v>248</v>
      </c>
      <c r="E12" s="4" t="s">
        <v>5</v>
      </c>
      <c r="F12" s="232" t="s">
        <v>229</v>
      </c>
      <c r="H12" s="244">
        <v>0</v>
      </c>
      <c r="I12" s="244"/>
      <c r="J12" s="244"/>
      <c r="K12" s="244">
        <v>19275</v>
      </c>
      <c r="L12" s="244"/>
      <c r="M12" s="244"/>
      <c r="N12" s="244">
        <v>0</v>
      </c>
      <c r="O12" s="244">
        <v>0</v>
      </c>
      <c r="P12" s="213">
        <v>0</v>
      </c>
      <c r="Q12" s="229">
        <f t="shared" si="0"/>
        <v>19275</v>
      </c>
      <c r="S12" s="37">
        <f t="shared" si="1"/>
        <v>0</v>
      </c>
      <c r="T12" s="37">
        <f t="shared" si="1"/>
        <v>0</v>
      </c>
      <c r="U12" s="37">
        <f t="shared" si="1"/>
        <v>0</v>
      </c>
      <c r="V12" s="37">
        <f t="shared" si="1"/>
        <v>0</v>
      </c>
      <c r="W12" s="37">
        <f t="shared" si="1"/>
        <v>0</v>
      </c>
      <c r="X12" s="37">
        <f t="shared" si="1"/>
        <v>0</v>
      </c>
      <c r="Y12" s="37">
        <f t="shared" si="1"/>
        <v>0</v>
      </c>
      <c r="Z12" s="37">
        <f t="shared" si="1"/>
        <v>0</v>
      </c>
      <c r="AA12" s="37">
        <f t="shared" si="1"/>
        <v>0</v>
      </c>
      <c r="AB12" s="64">
        <f t="shared" si="2"/>
        <v>0</v>
      </c>
    </row>
    <row r="13" spans="1:28">
      <c r="A13" s="231">
        <v>4115</v>
      </c>
      <c r="B13" s="4">
        <v>103493</v>
      </c>
      <c r="C13" s="4" t="s">
        <v>250</v>
      </c>
      <c r="D13" s="4" t="s">
        <v>251</v>
      </c>
      <c r="E13" s="4" t="s">
        <v>6</v>
      </c>
      <c r="F13" s="232" t="s">
        <v>229</v>
      </c>
      <c r="H13" s="244">
        <v>0</v>
      </c>
      <c r="I13" s="244"/>
      <c r="J13" s="244"/>
      <c r="K13" s="244">
        <v>17395</v>
      </c>
      <c r="L13" s="244"/>
      <c r="M13" s="244"/>
      <c r="N13" s="244">
        <v>0</v>
      </c>
      <c r="O13" s="244">
        <v>0</v>
      </c>
      <c r="P13" s="213">
        <v>0</v>
      </c>
      <c r="Q13" s="229">
        <f t="shared" si="0"/>
        <v>17395</v>
      </c>
      <c r="S13" s="37">
        <f t="shared" si="1"/>
        <v>0</v>
      </c>
      <c r="T13" s="37">
        <f t="shared" si="1"/>
        <v>0</v>
      </c>
      <c r="U13" s="37">
        <f t="shared" si="1"/>
        <v>0</v>
      </c>
      <c r="V13" s="37">
        <f t="shared" si="1"/>
        <v>0</v>
      </c>
      <c r="W13" s="37">
        <f t="shared" si="1"/>
        <v>0</v>
      </c>
      <c r="X13" s="37">
        <f t="shared" si="1"/>
        <v>0</v>
      </c>
      <c r="Y13" s="37">
        <f t="shared" si="1"/>
        <v>0</v>
      </c>
      <c r="Z13" s="37">
        <f t="shared" si="1"/>
        <v>0</v>
      </c>
      <c r="AA13" s="37">
        <f t="shared" si="1"/>
        <v>0</v>
      </c>
      <c r="AB13" s="64">
        <f t="shared" si="2"/>
        <v>0</v>
      </c>
    </row>
    <row r="14" spans="1:28">
      <c r="A14" s="231">
        <v>2030</v>
      </c>
      <c r="B14" s="4">
        <v>103172</v>
      </c>
      <c r="C14" s="4" t="s">
        <v>253</v>
      </c>
      <c r="D14" s="4" t="s">
        <v>254</v>
      </c>
      <c r="E14" s="4" t="s">
        <v>5</v>
      </c>
      <c r="F14" s="232" t="s">
        <v>229</v>
      </c>
      <c r="H14" s="244">
        <v>0</v>
      </c>
      <c r="I14" s="244"/>
      <c r="J14" s="244"/>
      <c r="K14" s="244">
        <v>39433.33</v>
      </c>
      <c r="L14" s="244"/>
      <c r="M14" s="244"/>
      <c r="N14" s="244">
        <v>0</v>
      </c>
      <c r="O14" s="244">
        <v>0</v>
      </c>
      <c r="P14" s="213">
        <v>0</v>
      </c>
      <c r="Q14" s="229">
        <f t="shared" si="0"/>
        <v>39433.33</v>
      </c>
      <c r="S14" s="37">
        <f t="shared" si="1"/>
        <v>0</v>
      </c>
      <c r="T14" s="37">
        <f t="shared" si="1"/>
        <v>0</v>
      </c>
      <c r="U14" s="37">
        <f t="shared" si="1"/>
        <v>0</v>
      </c>
      <c r="V14" s="37">
        <f t="shared" si="1"/>
        <v>0</v>
      </c>
      <c r="W14" s="37">
        <f t="shared" si="1"/>
        <v>0</v>
      </c>
      <c r="X14" s="37">
        <f t="shared" si="1"/>
        <v>0</v>
      </c>
      <c r="Y14" s="37">
        <f t="shared" si="1"/>
        <v>0</v>
      </c>
      <c r="Z14" s="37">
        <f t="shared" si="1"/>
        <v>0</v>
      </c>
      <c r="AA14" s="37">
        <f t="shared" si="1"/>
        <v>0</v>
      </c>
      <c r="AB14" s="64">
        <f t="shared" si="2"/>
        <v>0</v>
      </c>
    </row>
    <row r="15" spans="1:28">
      <c r="A15" s="231">
        <v>2238</v>
      </c>
      <c r="B15" s="4">
        <v>103288</v>
      </c>
      <c r="C15" s="4" t="s">
        <v>256</v>
      </c>
      <c r="D15" s="4" t="s">
        <v>257</v>
      </c>
      <c r="E15" s="4" t="s">
        <v>5</v>
      </c>
      <c r="F15" s="232" t="s">
        <v>229</v>
      </c>
      <c r="H15" s="244">
        <v>0</v>
      </c>
      <c r="I15" s="244"/>
      <c r="J15" s="244"/>
      <c r="K15" s="244">
        <v>16642.5</v>
      </c>
      <c r="L15" s="244"/>
      <c r="M15" s="244"/>
      <c r="N15" s="244">
        <v>0</v>
      </c>
      <c r="O15" s="244">
        <v>0</v>
      </c>
      <c r="P15" s="213">
        <v>0</v>
      </c>
      <c r="Q15" s="229">
        <f t="shared" si="0"/>
        <v>16642.5</v>
      </c>
      <c r="S15" s="37">
        <f t="shared" si="1"/>
        <v>0</v>
      </c>
      <c r="T15" s="37">
        <f t="shared" si="1"/>
        <v>0</v>
      </c>
      <c r="U15" s="37">
        <f t="shared" si="1"/>
        <v>0</v>
      </c>
      <c r="V15" s="37">
        <f t="shared" si="1"/>
        <v>0</v>
      </c>
      <c r="W15" s="37">
        <f t="shared" si="1"/>
        <v>0</v>
      </c>
      <c r="X15" s="37">
        <f t="shared" si="1"/>
        <v>0</v>
      </c>
      <c r="Y15" s="37">
        <f t="shared" si="1"/>
        <v>0</v>
      </c>
      <c r="Z15" s="37">
        <f t="shared" si="1"/>
        <v>0</v>
      </c>
      <c r="AA15" s="37">
        <f t="shared" si="1"/>
        <v>0</v>
      </c>
      <c r="AB15" s="64">
        <f t="shared" si="2"/>
        <v>0</v>
      </c>
    </row>
    <row r="16" spans="1:28">
      <c r="A16" s="231">
        <v>2236</v>
      </c>
      <c r="B16" s="4">
        <v>103286</v>
      </c>
      <c r="C16" s="4" t="s">
        <v>259</v>
      </c>
      <c r="D16" s="4" t="s">
        <v>260</v>
      </c>
      <c r="E16" s="4" t="s">
        <v>5</v>
      </c>
      <c r="F16" s="232" t="s">
        <v>229</v>
      </c>
      <c r="H16" s="244">
        <v>0</v>
      </c>
      <c r="I16" s="244"/>
      <c r="J16" s="244"/>
      <c r="K16" s="244">
        <v>16152.5</v>
      </c>
      <c r="L16" s="244"/>
      <c r="M16" s="244"/>
      <c r="N16" s="244">
        <v>0</v>
      </c>
      <c r="O16" s="244">
        <v>0</v>
      </c>
      <c r="P16" s="213">
        <v>0</v>
      </c>
      <c r="Q16" s="229">
        <f t="shared" si="0"/>
        <v>16152.5</v>
      </c>
      <c r="S16" s="37">
        <f t="shared" si="1"/>
        <v>0</v>
      </c>
      <c r="T16" s="37">
        <f t="shared" si="1"/>
        <v>0</v>
      </c>
      <c r="U16" s="37">
        <f t="shared" si="1"/>
        <v>0</v>
      </c>
      <c r="V16" s="37">
        <f t="shared" si="1"/>
        <v>0</v>
      </c>
      <c r="W16" s="37">
        <f t="shared" si="1"/>
        <v>0</v>
      </c>
      <c r="X16" s="37">
        <f t="shared" si="1"/>
        <v>0</v>
      </c>
      <c r="Y16" s="37">
        <f t="shared" si="1"/>
        <v>0</v>
      </c>
      <c r="Z16" s="37">
        <f t="shared" si="1"/>
        <v>0</v>
      </c>
      <c r="AA16" s="37">
        <f t="shared" si="1"/>
        <v>0</v>
      </c>
      <c r="AB16" s="64">
        <f t="shared" si="2"/>
        <v>0</v>
      </c>
    </row>
    <row r="17" spans="1:28">
      <c r="A17" s="231">
        <v>4801</v>
      </c>
      <c r="B17" s="4">
        <v>103539</v>
      </c>
      <c r="C17" s="4" t="s">
        <v>262</v>
      </c>
      <c r="D17" s="4" t="s">
        <v>263</v>
      </c>
      <c r="E17" s="4" t="s">
        <v>6</v>
      </c>
      <c r="F17" s="232" t="s">
        <v>229</v>
      </c>
      <c r="H17" s="244">
        <v>0</v>
      </c>
      <c r="I17" s="244"/>
      <c r="J17" s="244"/>
      <c r="K17" s="244">
        <v>29505</v>
      </c>
      <c r="L17" s="244"/>
      <c r="M17" s="244"/>
      <c r="N17" s="244">
        <v>20998.458333333336</v>
      </c>
      <c r="O17" s="244">
        <v>29397.841666666671</v>
      </c>
      <c r="P17" s="213">
        <v>0</v>
      </c>
      <c r="Q17" s="229">
        <f t="shared" si="0"/>
        <v>79901.3</v>
      </c>
      <c r="S17" s="37">
        <f t="shared" ref="S17:AA26" si="3">SUMIF($H$3:$P$3,S$6,$H17:$P17)</f>
        <v>50396.3</v>
      </c>
      <c r="T17" s="37">
        <f t="shared" si="3"/>
        <v>0</v>
      </c>
      <c r="U17" s="37">
        <f t="shared" si="3"/>
        <v>0</v>
      </c>
      <c r="V17" s="37">
        <f t="shared" si="3"/>
        <v>0</v>
      </c>
      <c r="W17" s="37">
        <f t="shared" si="3"/>
        <v>0</v>
      </c>
      <c r="X17" s="37">
        <f t="shared" si="3"/>
        <v>0</v>
      </c>
      <c r="Y17" s="37">
        <f t="shared" si="3"/>
        <v>0</v>
      </c>
      <c r="Z17" s="37">
        <f t="shared" si="3"/>
        <v>0</v>
      </c>
      <c r="AA17" s="37">
        <f t="shared" si="3"/>
        <v>0</v>
      </c>
      <c r="AB17" s="64">
        <f t="shared" si="2"/>
        <v>0</v>
      </c>
    </row>
    <row r="18" spans="1:28">
      <c r="A18" s="231">
        <v>2312</v>
      </c>
      <c r="B18" s="4">
        <v>103332</v>
      </c>
      <c r="C18" s="4" t="s">
        <v>265</v>
      </c>
      <c r="D18" s="4" t="s">
        <v>266</v>
      </c>
      <c r="E18" s="4" t="s">
        <v>5</v>
      </c>
      <c r="F18" s="232" t="s">
        <v>229</v>
      </c>
      <c r="H18" s="244">
        <v>4200</v>
      </c>
      <c r="I18" s="244"/>
      <c r="J18" s="244"/>
      <c r="K18" s="244">
        <v>87263.87</v>
      </c>
      <c r="L18" s="244"/>
      <c r="M18" s="244"/>
      <c r="N18" s="244">
        <v>0</v>
      </c>
      <c r="O18" s="244">
        <v>0</v>
      </c>
      <c r="P18" s="213">
        <v>0</v>
      </c>
      <c r="Q18" s="229">
        <f t="shared" si="0"/>
        <v>91463.87</v>
      </c>
      <c r="S18" s="37">
        <f t="shared" si="3"/>
        <v>0</v>
      </c>
      <c r="T18" s="37">
        <f t="shared" si="3"/>
        <v>0</v>
      </c>
      <c r="U18" s="37">
        <f t="shared" si="3"/>
        <v>0</v>
      </c>
      <c r="V18" s="37">
        <f t="shared" si="3"/>
        <v>0</v>
      </c>
      <c r="W18" s="37">
        <f t="shared" si="3"/>
        <v>0</v>
      </c>
      <c r="X18" s="37">
        <f t="shared" si="3"/>
        <v>0</v>
      </c>
      <c r="Y18" s="37">
        <f t="shared" si="3"/>
        <v>0</v>
      </c>
      <c r="Z18" s="37">
        <f t="shared" si="3"/>
        <v>0</v>
      </c>
      <c r="AA18" s="37">
        <f t="shared" si="3"/>
        <v>0</v>
      </c>
      <c r="AB18" s="64">
        <f t="shared" si="2"/>
        <v>0</v>
      </c>
    </row>
    <row r="19" spans="1:28">
      <c r="A19" s="231">
        <v>7051</v>
      </c>
      <c r="B19" s="4">
        <v>103626</v>
      </c>
      <c r="C19" s="4" t="s">
        <v>268</v>
      </c>
      <c r="D19" s="4" t="s">
        <v>269</v>
      </c>
      <c r="E19" s="4" t="s">
        <v>1093</v>
      </c>
      <c r="F19" s="232" t="s">
        <v>229</v>
      </c>
      <c r="H19" s="244">
        <v>70216</v>
      </c>
      <c r="I19" s="244"/>
      <c r="J19" s="244"/>
      <c r="K19" s="244">
        <v>0</v>
      </c>
      <c r="L19" s="244"/>
      <c r="M19" s="244"/>
      <c r="N19" s="244">
        <v>0</v>
      </c>
      <c r="O19" s="244">
        <v>0</v>
      </c>
      <c r="P19" s="213">
        <v>0</v>
      </c>
      <c r="Q19" s="229">
        <f t="shared" si="0"/>
        <v>70216</v>
      </c>
      <c r="S19" s="37">
        <f t="shared" si="3"/>
        <v>0</v>
      </c>
      <c r="T19" s="37">
        <f t="shared" si="3"/>
        <v>0</v>
      </c>
      <c r="U19" s="37">
        <f t="shared" si="3"/>
        <v>0</v>
      </c>
      <c r="V19" s="37">
        <f t="shared" si="3"/>
        <v>0</v>
      </c>
      <c r="W19" s="37">
        <f t="shared" si="3"/>
        <v>0</v>
      </c>
      <c r="X19" s="37">
        <f t="shared" si="3"/>
        <v>0</v>
      </c>
      <c r="Y19" s="37">
        <f t="shared" si="3"/>
        <v>0</v>
      </c>
      <c r="Z19" s="37">
        <f t="shared" si="3"/>
        <v>0</v>
      </c>
      <c r="AA19" s="37">
        <f t="shared" si="3"/>
        <v>0</v>
      </c>
      <c r="AB19" s="64">
        <f t="shared" si="2"/>
        <v>0</v>
      </c>
    </row>
    <row r="20" spans="1:28">
      <c r="A20" s="231">
        <v>2251</v>
      </c>
      <c r="B20" s="4">
        <v>103298</v>
      </c>
      <c r="C20" s="4" t="s">
        <v>271</v>
      </c>
      <c r="D20" s="4" t="s">
        <v>272</v>
      </c>
      <c r="E20" s="4" t="s">
        <v>5</v>
      </c>
      <c r="F20" s="232" t="s">
        <v>229</v>
      </c>
      <c r="H20" s="244">
        <v>0</v>
      </c>
      <c r="I20" s="244"/>
      <c r="J20" s="244"/>
      <c r="K20" s="244">
        <v>15505</v>
      </c>
      <c r="L20" s="244"/>
      <c r="M20" s="244"/>
      <c r="N20" s="244">
        <v>0</v>
      </c>
      <c r="O20" s="244">
        <v>0</v>
      </c>
      <c r="P20" s="213">
        <v>0</v>
      </c>
      <c r="Q20" s="229">
        <f t="shared" si="0"/>
        <v>15505</v>
      </c>
      <c r="S20" s="37">
        <f t="shared" si="3"/>
        <v>0</v>
      </c>
      <c r="T20" s="37">
        <f t="shared" si="3"/>
        <v>0</v>
      </c>
      <c r="U20" s="37">
        <f t="shared" si="3"/>
        <v>0</v>
      </c>
      <c r="V20" s="37">
        <f t="shared" si="3"/>
        <v>0</v>
      </c>
      <c r="W20" s="37">
        <f t="shared" si="3"/>
        <v>0</v>
      </c>
      <c r="X20" s="37">
        <f t="shared" si="3"/>
        <v>0</v>
      </c>
      <c r="Y20" s="37">
        <f t="shared" si="3"/>
        <v>0</v>
      </c>
      <c r="Z20" s="37">
        <f t="shared" si="3"/>
        <v>0</v>
      </c>
      <c r="AA20" s="37">
        <f t="shared" si="3"/>
        <v>0</v>
      </c>
      <c r="AB20" s="64">
        <f t="shared" si="2"/>
        <v>0</v>
      </c>
    </row>
    <row r="21" spans="1:28">
      <c r="A21" s="231">
        <v>3002</v>
      </c>
      <c r="B21" s="4">
        <v>103397</v>
      </c>
      <c r="C21" s="4" t="s">
        <v>274</v>
      </c>
      <c r="D21" s="4" t="s">
        <v>275</v>
      </c>
      <c r="E21" s="4" t="s">
        <v>5</v>
      </c>
      <c r="F21" s="232" t="s">
        <v>229</v>
      </c>
      <c r="H21" s="244">
        <v>0</v>
      </c>
      <c r="I21" s="244"/>
      <c r="J21" s="244"/>
      <c r="K21" s="244">
        <v>9520</v>
      </c>
      <c r="L21" s="244"/>
      <c r="M21" s="244"/>
      <c r="N21" s="244">
        <v>0</v>
      </c>
      <c r="O21" s="244">
        <v>0</v>
      </c>
      <c r="P21" s="213">
        <v>0</v>
      </c>
      <c r="Q21" s="229">
        <f t="shared" si="0"/>
        <v>9520</v>
      </c>
      <c r="S21" s="37">
        <f t="shared" si="3"/>
        <v>0</v>
      </c>
      <c r="T21" s="37">
        <f t="shared" si="3"/>
        <v>0</v>
      </c>
      <c r="U21" s="37">
        <f t="shared" si="3"/>
        <v>0</v>
      </c>
      <c r="V21" s="37">
        <f t="shared" si="3"/>
        <v>0</v>
      </c>
      <c r="W21" s="37">
        <f t="shared" si="3"/>
        <v>0</v>
      </c>
      <c r="X21" s="37">
        <f t="shared" si="3"/>
        <v>0</v>
      </c>
      <c r="Y21" s="37">
        <f t="shared" si="3"/>
        <v>0</v>
      </c>
      <c r="Z21" s="37">
        <f t="shared" si="3"/>
        <v>0</v>
      </c>
      <c r="AA21" s="37">
        <f t="shared" si="3"/>
        <v>0</v>
      </c>
      <c r="AB21" s="64">
        <f t="shared" si="2"/>
        <v>0</v>
      </c>
    </row>
    <row r="22" spans="1:28">
      <c r="A22" s="231">
        <v>3319</v>
      </c>
      <c r="B22" s="4">
        <v>103423</v>
      </c>
      <c r="C22" s="4" t="s">
        <v>277</v>
      </c>
      <c r="D22" s="4" t="s">
        <v>278</v>
      </c>
      <c r="E22" s="4" t="s">
        <v>5</v>
      </c>
      <c r="F22" s="232" t="s">
        <v>229</v>
      </c>
      <c r="H22" s="244">
        <v>0</v>
      </c>
      <c r="I22" s="244"/>
      <c r="J22" s="244"/>
      <c r="K22" s="244">
        <v>26040</v>
      </c>
      <c r="L22" s="244"/>
      <c r="M22" s="244"/>
      <c r="N22" s="244">
        <v>0</v>
      </c>
      <c r="O22" s="244">
        <v>0</v>
      </c>
      <c r="P22" s="213">
        <v>0</v>
      </c>
      <c r="Q22" s="229">
        <f t="shared" si="0"/>
        <v>26040</v>
      </c>
      <c r="S22" s="37">
        <f t="shared" si="3"/>
        <v>0</v>
      </c>
      <c r="T22" s="37">
        <f t="shared" si="3"/>
        <v>0</v>
      </c>
      <c r="U22" s="37">
        <f t="shared" si="3"/>
        <v>0</v>
      </c>
      <c r="V22" s="37">
        <f t="shared" si="3"/>
        <v>0</v>
      </c>
      <c r="W22" s="37">
        <f t="shared" si="3"/>
        <v>0</v>
      </c>
      <c r="X22" s="37">
        <f t="shared" si="3"/>
        <v>0</v>
      </c>
      <c r="Y22" s="37">
        <f t="shared" si="3"/>
        <v>0</v>
      </c>
      <c r="Z22" s="37">
        <f t="shared" si="3"/>
        <v>0</v>
      </c>
      <c r="AA22" s="37">
        <f t="shared" si="3"/>
        <v>0</v>
      </c>
      <c r="AB22" s="64">
        <f t="shared" si="2"/>
        <v>0</v>
      </c>
    </row>
    <row r="23" spans="1:28">
      <c r="A23" s="231">
        <v>5416</v>
      </c>
      <c r="B23" s="4">
        <v>103563</v>
      </c>
      <c r="C23" s="4" t="s">
        <v>280</v>
      </c>
      <c r="D23" s="4" t="s">
        <v>281</v>
      </c>
      <c r="E23" s="4" t="s">
        <v>6</v>
      </c>
      <c r="F23" s="232" t="s">
        <v>229</v>
      </c>
      <c r="H23" s="244">
        <v>0</v>
      </c>
      <c r="I23" s="244"/>
      <c r="J23" s="244"/>
      <c r="K23" s="244">
        <v>24900</v>
      </c>
      <c r="L23" s="244"/>
      <c r="M23" s="244"/>
      <c r="N23" s="244">
        <v>0</v>
      </c>
      <c r="O23" s="244">
        <v>0</v>
      </c>
      <c r="P23" s="213">
        <v>0</v>
      </c>
      <c r="Q23" s="229">
        <f t="shared" si="0"/>
        <v>24900</v>
      </c>
      <c r="S23" s="37">
        <f t="shared" si="3"/>
        <v>0</v>
      </c>
      <c r="T23" s="37">
        <f t="shared" si="3"/>
        <v>0</v>
      </c>
      <c r="U23" s="37">
        <f t="shared" si="3"/>
        <v>0</v>
      </c>
      <c r="V23" s="37">
        <f t="shared" si="3"/>
        <v>0</v>
      </c>
      <c r="W23" s="37">
        <f t="shared" si="3"/>
        <v>0</v>
      </c>
      <c r="X23" s="37">
        <f t="shared" si="3"/>
        <v>0</v>
      </c>
      <c r="Y23" s="37">
        <f t="shared" si="3"/>
        <v>0</v>
      </c>
      <c r="Z23" s="37">
        <f t="shared" si="3"/>
        <v>0</v>
      </c>
      <c r="AA23" s="37">
        <f t="shared" si="3"/>
        <v>0</v>
      </c>
      <c r="AB23" s="64">
        <f t="shared" si="2"/>
        <v>0</v>
      </c>
    </row>
    <row r="24" spans="1:28">
      <c r="A24" s="231">
        <v>2054</v>
      </c>
      <c r="B24" s="4">
        <v>103189</v>
      </c>
      <c r="C24" s="4" t="s">
        <v>283</v>
      </c>
      <c r="D24" s="4" t="s">
        <v>284</v>
      </c>
      <c r="E24" s="4" t="s">
        <v>5</v>
      </c>
      <c r="F24" s="232" t="s">
        <v>229</v>
      </c>
      <c r="H24" s="244">
        <v>0</v>
      </c>
      <c r="I24" s="244"/>
      <c r="J24" s="244"/>
      <c r="K24" s="244">
        <v>49808.75</v>
      </c>
      <c r="L24" s="244"/>
      <c r="M24" s="244"/>
      <c r="N24" s="244">
        <v>0</v>
      </c>
      <c r="O24" s="244">
        <v>0</v>
      </c>
      <c r="P24" s="213">
        <v>0</v>
      </c>
      <c r="Q24" s="229">
        <f t="shared" si="0"/>
        <v>49808.75</v>
      </c>
      <c r="S24" s="37">
        <f t="shared" si="3"/>
        <v>0</v>
      </c>
      <c r="T24" s="37">
        <f t="shared" si="3"/>
        <v>0</v>
      </c>
      <c r="U24" s="37">
        <f t="shared" si="3"/>
        <v>0</v>
      </c>
      <c r="V24" s="37">
        <f t="shared" si="3"/>
        <v>0</v>
      </c>
      <c r="W24" s="37">
        <f t="shared" si="3"/>
        <v>0</v>
      </c>
      <c r="X24" s="37">
        <f t="shared" si="3"/>
        <v>0</v>
      </c>
      <c r="Y24" s="37">
        <f t="shared" si="3"/>
        <v>0</v>
      </c>
      <c r="Z24" s="37">
        <f t="shared" si="3"/>
        <v>0</v>
      </c>
      <c r="AA24" s="37">
        <f t="shared" si="3"/>
        <v>0</v>
      </c>
      <c r="AB24" s="64">
        <f t="shared" si="2"/>
        <v>0</v>
      </c>
    </row>
    <row r="25" spans="1:28">
      <c r="A25" s="231">
        <v>2053</v>
      </c>
      <c r="B25" s="4">
        <v>103188</v>
      </c>
      <c r="C25" s="4" t="s">
        <v>286</v>
      </c>
      <c r="D25" s="4" t="s">
        <v>287</v>
      </c>
      <c r="E25" s="4" t="s">
        <v>5</v>
      </c>
      <c r="F25" s="232" t="s">
        <v>229</v>
      </c>
      <c r="H25" s="244">
        <v>0</v>
      </c>
      <c r="I25" s="244"/>
      <c r="J25" s="244"/>
      <c r="K25" s="244">
        <v>34055</v>
      </c>
      <c r="L25" s="244"/>
      <c r="M25" s="244"/>
      <c r="N25" s="244">
        <v>0</v>
      </c>
      <c r="O25" s="244">
        <v>0</v>
      </c>
      <c r="P25" s="213">
        <v>0</v>
      </c>
      <c r="Q25" s="229">
        <f t="shared" si="0"/>
        <v>34055</v>
      </c>
      <c r="S25" s="37">
        <f t="shared" si="3"/>
        <v>0</v>
      </c>
      <c r="T25" s="37">
        <f t="shared" si="3"/>
        <v>0</v>
      </c>
      <c r="U25" s="37">
        <f t="shared" si="3"/>
        <v>0</v>
      </c>
      <c r="V25" s="37">
        <f t="shared" si="3"/>
        <v>0</v>
      </c>
      <c r="W25" s="37">
        <f t="shared" si="3"/>
        <v>0</v>
      </c>
      <c r="X25" s="37">
        <f t="shared" si="3"/>
        <v>0</v>
      </c>
      <c r="Y25" s="37">
        <f t="shared" si="3"/>
        <v>0</v>
      </c>
      <c r="Z25" s="37">
        <f t="shared" si="3"/>
        <v>0</v>
      </c>
      <c r="AA25" s="37">
        <f t="shared" si="3"/>
        <v>0</v>
      </c>
      <c r="AB25" s="64">
        <f t="shared" si="2"/>
        <v>0</v>
      </c>
    </row>
    <row r="26" spans="1:28">
      <c r="A26" s="231">
        <v>2055</v>
      </c>
      <c r="B26" s="4">
        <v>103190</v>
      </c>
      <c r="C26" s="4" t="s">
        <v>289</v>
      </c>
      <c r="D26" s="4" t="s">
        <v>290</v>
      </c>
      <c r="E26" s="4" t="s">
        <v>5</v>
      </c>
      <c r="F26" s="232" t="s">
        <v>229</v>
      </c>
      <c r="H26" s="244">
        <v>0</v>
      </c>
      <c r="I26" s="244"/>
      <c r="J26" s="244"/>
      <c r="K26" s="244">
        <v>33740</v>
      </c>
      <c r="L26" s="244"/>
      <c r="M26" s="244"/>
      <c r="N26" s="244">
        <v>0</v>
      </c>
      <c r="O26" s="244">
        <v>0</v>
      </c>
      <c r="P26" s="213">
        <v>0</v>
      </c>
      <c r="Q26" s="229">
        <f t="shared" si="0"/>
        <v>33740</v>
      </c>
      <c r="S26" s="37">
        <f t="shared" si="3"/>
        <v>0</v>
      </c>
      <c r="T26" s="37">
        <f t="shared" si="3"/>
        <v>0</v>
      </c>
      <c r="U26" s="37">
        <f t="shared" si="3"/>
        <v>0</v>
      </c>
      <c r="V26" s="37">
        <f t="shared" si="3"/>
        <v>0</v>
      </c>
      <c r="W26" s="37">
        <f t="shared" si="3"/>
        <v>0</v>
      </c>
      <c r="X26" s="37">
        <f t="shared" si="3"/>
        <v>0</v>
      </c>
      <c r="Y26" s="37">
        <f t="shared" si="3"/>
        <v>0</v>
      </c>
      <c r="Z26" s="37">
        <f t="shared" si="3"/>
        <v>0</v>
      </c>
      <c r="AA26" s="37">
        <f t="shared" si="3"/>
        <v>0</v>
      </c>
      <c r="AB26" s="64">
        <f t="shared" si="2"/>
        <v>0</v>
      </c>
    </row>
    <row r="27" spans="1:28">
      <c r="A27" s="231">
        <v>2486</v>
      </c>
      <c r="B27" s="4">
        <v>133759</v>
      </c>
      <c r="C27" s="4" t="s">
        <v>292</v>
      </c>
      <c r="D27" s="4" t="s">
        <v>293</v>
      </c>
      <c r="E27" s="4" t="s">
        <v>5</v>
      </c>
      <c r="F27" s="232" t="s">
        <v>229</v>
      </c>
      <c r="H27" s="244">
        <v>0</v>
      </c>
      <c r="I27" s="244"/>
      <c r="J27" s="244"/>
      <c r="K27" s="244">
        <v>30975</v>
      </c>
      <c r="L27" s="244"/>
      <c r="M27" s="244"/>
      <c r="N27" s="244">
        <v>0</v>
      </c>
      <c r="O27" s="244">
        <v>0</v>
      </c>
      <c r="P27" s="213">
        <v>0</v>
      </c>
      <c r="Q27" s="229">
        <f t="shared" si="0"/>
        <v>30975</v>
      </c>
      <c r="S27" s="37">
        <f t="shared" ref="S27:AA36" si="4">SUMIF($H$3:$P$3,S$6,$H27:$P27)</f>
        <v>0</v>
      </c>
      <c r="T27" s="37">
        <f t="shared" si="4"/>
        <v>0</v>
      </c>
      <c r="U27" s="37">
        <f t="shared" si="4"/>
        <v>0</v>
      </c>
      <c r="V27" s="37">
        <f t="shared" si="4"/>
        <v>0</v>
      </c>
      <c r="W27" s="37">
        <f t="shared" si="4"/>
        <v>0</v>
      </c>
      <c r="X27" s="37">
        <f t="shared" si="4"/>
        <v>0</v>
      </c>
      <c r="Y27" s="37">
        <f t="shared" si="4"/>
        <v>0</v>
      </c>
      <c r="Z27" s="37">
        <f t="shared" si="4"/>
        <v>0</v>
      </c>
      <c r="AA27" s="37">
        <f t="shared" si="4"/>
        <v>0</v>
      </c>
      <c r="AB27" s="64">
        <f t="shared" si="2"/>
        <v>0</v>
      </c>
    </row>
    <row r="28" spans="1:28">
      <c r="A28" s="231">
        <v>2296</v>
      </c>
      <c r="B28" s="4">
        <v>103320</v>
      </c>
      <c r="C28" s="4" t="s">
        <v>295</v>
      </c>
      <c r="D28" s="4" t="s">
        <v>297</v>
      </c>
      <c r="E28" s="4" t="s">
        <v>5</v>
      </c>
      <c r="F28" s="232" t="s">
        <v>296</v>
      </c>
      <c r="H28" s="244">
        <v>0</v>
      </c>
      <c r="I28" s="244"/>
      <c r="J28" s="244"/>
      <c r="K28" s="244">
        <v>10675</v>
      </c>
      <c r="L28" s="244"/>
      <c r="M28" s="244"/>
      <c r="N28" s="244">
        <v>0</v>
      </c>
      <c r="O28" s="244">
        <v>0</v>
      </c>
      <c r="P28" s="213">
        <v>114383.99999999997</v>
      </c>
      <c r="Q28" s="229">
        <f t="shared" si="0"/>
        <v>125058.99999999997</v>
      </c>
      <c r="S28" s="37">
        <f t="shared" si="4"/>
        <v>114383.99999999997</v>
      </c>
      <c r="T28" s="37">
        <f t="shared" si="4"/>
        <v>0</v>
      </c>
      <c r="U28" s="37">
        <f t="shared" si="4"/>
        <v>0</v>
      </c>
      <c r="V28" s="37">
        <f t="shared" si="4"/>
        <v>0</v>
      </c>
      <c r="W28" s="37">
        <f t="shared" si="4"/>
        <v>0</v>
      </c>
      <c r="X28" s="37">
        <f t="shared" si="4"/>
        <v>0</v>
      </c>
      <c r="Y28" s="37">
        <f t="shared" si="4"/>
        <v>0</v>
      </c>
      <c r="Z28" s="37">
        <f t="shared" si="4"/>
        <v>0</v>
      </c>
      <c r="AA28" s="37">
        <f t="shared" si="4"/>
        <v>0</v>
      </c>
      <c r="AB28" s="64">
        <f t="shared" si="2"/>
        <v>0</v>
      </c>
    </row>
    <row r="29" spans="1:28">
      <c r="A29" s="231">
        <v>2092</v>
      </c>
      <c r="B29" s="4">
        <v>103209</v>
      </c>
      <c r="C29" s="4" t="s">
        <v>299</v>
      </c>
      <c r="D29" s="4" t="s">
        <v>300</v>
      </c>
      <c r="E29" s="4" t="s">
        <v>5</v>
      </c>
      <c r="F29" s="232" t="s">
        <v>229</v>
      </c>
      <c r="H29" s="244">
        <v>0</v>
      </c>
      <c r="I29" s="244"/>
      <c r="J29" s="244"/>
      <c r="K29" s="244">
        <v>45649.33</v>
      </c>
      <c r="L29" s="244"/>
      <c r="M29" s="244"/>
      <c r="N29" s="244">
        <v>0</v>
      </c>
      <c r="O29" s="244">
        <v>0</v>
      </c>
      <c r="P29" s="213">
        <v>0</v>
      </c>
      <c r="Q29" s="229">
        <f t="shared" si="0"/>
        <v>45649.33</v>
      </c>
      <c r="S29" s="37">
        <f t="shared" si="4"/>
        <v>0</v>
      </c>
      <c r="T29" s="37">
        <f t="shared" si="4"/>
        <v>0</v>
      </c>
      <c r="U29" s="37">
        <f t="shared" si="4"/>
        <v>0</v>
      </c>
      <c r="V29" s="37">
        <f t="shared" si="4"/>
        <v>0</v>
      </c>
      <c r="W29" s="37">
        <f t="shared" si="4"/>
        <v>0</v>
      </c>
      <c r="X29" s="37">
        <f t="shared" si="4"/>
        <v>0</v>
      </c>
      <c r="Y29" s="37">
        <f t="shared" si="4"/>
        <v>0</v>
      </c>
      <c r="Z29" s="37">
        <f t="shared" si="4"/>
        <v>0</v>
      </c>
      <c r="AA29" s="37">
        <f t="shared" si="4"/>
        <v>0</v>
      </c>
      <c r="AB29" s="64">
        <f t="shared" si="2"/>
        <v>0</v>
      </c>
    </row>
    <row r="30" spans="1:28">
      <c r="A30" s="231">
        <v>4201</v>
      </c>
      <c r="B30" s="4">
        <v>103503</v>
      </c>
      <c r="C30" s="4" t="s">
        <v>302</v>
      </c>
      <c r="D30" s="4" t="s">
        <v>303</v>
      </c>
      <c r="E30" s="4" t="s">
        <v>6</v>
      </c>
      <c r="F30" s="232" t="s">
        <v>229</v>
      </c>
      <c r="H30" s="244">
        <v>0</v>
      </c>
      <c r="I30" s="244"/>
      <c r="J30" s="244"/>
      <c r="K30" s="244">
        <v>14993</v>
      </c>
      <c r="L30" s="244"/>
      <c r="M30" s="244"/>
      <c r="N30" s="244">
        <v>0</v>
      </c>
      <c r="O30" s="244">
        <v>0</v>
      </c>
      <c r="P30" s="213">
        <v>0</v>
      </c>
      <c r="Q30" s="229">
        <f t="shared" si="0"/>
        <v>14993</v>
      </c>
      <c r="S30" s="37">
        <f t="shared" si="4"/>
        <v>0</v>
      </c>
      <c r="T30" s="37">
        <f t="shared" si="4"/>
        <v>0</v>
      </c>
      <c r="U30" s="37">
        <f t="shared" si="4"/>
        <v>0</v>
      </c>
      <c r="V30" s="37">
        <f t="shared" si="4"/>
        <v>0</v>
      </c>
      <c r="W30" s="37">
        <f t="shared" si="4"/>
        <v>0</v>
      </c>
      <c r="X30" s="37">
        <f t="shared" si="4"/>
        <v>0</v>
      </c>
      <c r="Y30" s="37">
        <f t="shared" si="4"/>
        <v>0</v>
      </c>
      <c r="Z30" s="37">
        <f t="shared" si="4"/>
        <v>0</v>
      </c>
      <c r="AA30" s="37">
        <f t="shared" si="4"/>
        <v>0</v>
      </c>
      <c r="AB30" s="64">
        <f t="shared" si="2"/>
        <v>0</v>
      </c>
    </row>
    <row r="31" spans="1:28">
      <c r="A31" s="231">
        <v>4015</v>
      </c>
      <c r="B31" s="4">
        <v>103483</v>
      </c>
      <c r="C31" s="4" t="s">
        <v>305</v>
      </c>
      <c r="D31" s="4" t="s">
        <v>306</v>
      </c>
      <c r="E31" s="4" t="s">
        <v>6</v>
      </c>
      <c r="F31" s="232" t="s">
        <v>229</v>
      </c>
      <c r="H31" s="244">
        <v>0</v>
      </c>
      <c r="I31" s="244"/>
      <c r="J31" s="244"/>
      <c r="K31" s="244">
        <v>15540</v>
      </c>
      <c r="L31" s="244"/>
      <c r="M31" s="244"/>
      <c r="N31" s="244">
        <v>0</v>
      </c>
      <c r="O31" s="244">
        <v>0</v>
      </c>
      <c r="P31" s="213">
        <v>0</v>
      </c>
      <c r="Q31" s="229">
        <f t="shared" si="0"/>
        <v>15540</v>
      </c>
      <c r="S31" s="37">
        <f t="shared" si="4"/>
        <v>0</v>
      </c>
      <c r="T31" s="37">
        <f t="shared" si="4"/>
        <v>0</v>
      </c>
      <c r="U31" s="37">
        <f t="shared" si="4"/>
        <v>0</v>
      </c>
      <c r="V31" s="37">
        <f t="shared" si="4"/>
        <v>0</v>
      </c>
      <c r="W31" s="37">
        <f t="shared" si="4"/>
        <v>0</v>
      </c>
      <c r="X31" s="37">
        <f t="shared" si="4"/>
        <v>0</v>
      </c>
      <c r="Y31" s="37">
        <f t="shared" si="4"/>
        <v>0</v>
      </c>
      <c r="Z31" s="37">
        <f t="shared" si="4"/>
        <v>0</v>
      </c>
      <c r="AA31" s="37">
        <f t="shared" si="4"/>
        <v>0</v>
      </c>
      <c r="AB31" s="64">
        <f t="shared" si="2"/>
        <v>0</v>
      </c>
    </row>
    <row r="32" spans="1:28">
      <c r="A32" s="231">
        <v>4223</v>
      </c>
      <c r="B32" s="4">
        <v>103509</v>
      </c>
      <c r="C32" s="4" t="s">
        <v>308</v>
      </c>
      <c r="D32" s="4" t="s">
        <v>309</v>
      </c>
      <c r="E32" s="4" t="s">
        <v>6</v>
      </c>
      <c r="F32" s="232" t="s">
        <v>229</v>
      </c>
      <c r="H32" s="244">
        <v>0</v>
      </c>
      <c r="I32" s="244"/>
      <c r="J32" s="244"/>
      <c r="K32" s="244">
        <v>29785</v>
      </c>
      <c r="L32" s="244"/>
      <c r="M32" s="244"/>
      <c r="N32" s="244">
        <v>0</v>
      </c>
      <c r="O32" s="244">
        <v>0</v>
      </c>
      <c r="P32" s="213">
        <v>0</v>
      </c>
      <c r="Q32" s="229">
        <f t="shared" si="0"/>
        <v>29785</v>
      </c>
      <c r="S32" s="37">
        <f t="shared" si="4"/>
        <v>0</v>
      </c>
      <c r="T32" s="37">
        <f t="shared" si="4"/>
        <v>0</v>
      </c>
      <c r="U32" s="37">
        <f t="shared" si="4"/>
        <v>0</v>
      </c>
      <c r="V32" s="37">
        <f t="shared" si="4"/>
        <v>0</v>
      </c>
      <c r="W32" s="37">
        <f t="shared" si="4"/>
        <v>0</v>
      </c>
      <c r="X32" s="37">
        <f t="shared" si="4"/>
        <v>0</v>
      </c>
      <c r="Y32" s="37">
        <f t="shared" si="4"/>
        <v>0</v>
      </c>
      <c r="Z32" s="37">
        <f t="shared" si="4"/>
        <v>0</v>
      </c>
      <c r="AA32" s="37">
        <f t="shared" si="4"/>
        <v>0</v>
      </c>
      <c r="AB32" s="64">
        <f t="shared" si="2"/>
        <v>0</v>
      </c>
    </row>
    <row r="33" spans="1:28">
      <c r="A33" s="231">
        <v>2015</v>
      </c>
      <c r="B33" s="4">
        <v>134102</v>
      </c>
      <c r="C33" s="4" t="s">
        <v>311</v>
      </c>
      <c r="D33" s="4" t="s">
        <v>312</v>
      </c>
      <c r="E33" s="4" t="s">
        <v>5</v>
      </c>
      <c r="F33" s="232" t="s">
        <v>229</v>
      </c>
      <c r="H33" s="244">
        <v>0</v>
      </c>
      <c r="I33" s="244"/>
      <c r="J33" s="244"/>
      <c r="K33" s="244">
        <v>9415</v>
      </c>
      <c r="L33" s="244"/>
      <c r="M33" s="244"/>
      <c r="N33" s="244">
        <v>0</v>
      </c>
      <c r="O33" s="244">
        <v>0</v>
      </c>
      <c r="P33" s="213">
        <v>0</v>
      </c>
      <c r="Q33" s="229">
        <f t="shared" si="0"/>
        <v>9415</v>
      </c>
      <c r="S33" s="37">
        <f t="shared" si="4"/>
        <v>0</v>
      </c>
      <c r="T33" s="37">
        <f t="shared" si="4"/>
        <v>0</v>
      </c>
      <c r="U33" s="37">
        <f t="shared" si="4"/>
        <v>0</v>
      </c>
      <c r="V33" s="37">
        <f t="shared" si="4"/>
        <v>0</v>
      </c>
      <c r="W33" s="37">
        <f t="shared" si="4"/>
        <v>0</v>
      </c>
      <c r="X33" s="37">
        <f t="shared" si="4"/>
        <v>0</v>
      </c>
      <c r="Y33" s="37">
        <f t="shared" si="4"/>
        <v>0</v>
      </c>
      <c r="Z33" s="37">
        <f t="shared" si="4"/>
        <v>0</v>
      </c>
      <c r="AA33" s="37">
        <f t="shared" si="4"/>
        <v>0</v>
      </c>
      <c r="AB33" s="64">
        <f t="shared" si="2"/>
        <v>0</v>
      </c>
    </row>
    <row r="34" spans="1:28">
      <c r="A34" s="231">
        <v>2462</v>
      </c>
      <c r="B34" s="4">
        <v>103388</v>
      </c>
      <c r="C34" s="4" t="s">
        <v>314</v>
      </c>
      <c r="D34" s="4" t="s">
        <v>315</v>
      </c>
      <c r="E34" s="4" t="s">
        <v>5</v>
      </c>
      <c r="F34" s="232" t="s">
        <v>229</v>
      </c>
      <c r="H34" s="244">
        <v>0</v>
      </c>
      <c r="I34" s="244"/>
      <c r="J34" s="244"/>
      <c r="K34" s="244">
        <v>4200</v>
      </c>
      <c r="L34" s="244"/>
      <c r="M34" s="244"/>
      <c r="N34" s="244">
        <v>0</v>
      </c>
      <c r="O34" s="244">
        <v>0</v>
      </c>
      <c r="P34" s="213">
        <v>0</v>
      </c>
      <c r="Q34" s="229">
        <f t="shared" si="0"/>
        <v>4200</v>
      </c>
      <c r="S34" s="37">
        <f t="shared" si="4"/>
        <v>0</v>
      </c>
      <c r="T34" s="37">
        <f t="shared" si="4"/>
        <v>0</v>
      </c>
      <c r="U34" s="37">
        <f t="shared" si="4"/>
        <v>0</v>
      </c>
      <c r="V34" s="37">
        <f t="shared" si="4"/>
        <v>0</v>
      </c>
      <c r="W34" s="37">
        <f t="shared" si="4"/>
        <v>0</v>
      </c>
      <c r="X34" s="37">
        <f t="shared" si="4"/>
        <v>0</v>
      </c>
      <c r="Y34" s="37">
        <f t="shared" si="4"/>
        <v>0</v>
      </c>
      <c r="Z34" s="37">
        <f t="shared" si="4"/>
        <v>0</v>
      </c>
      <c r="AA34" s="37">
        <f t="shared" si="4"/>
        <v>0</v>
      </c>
      <c r="AB34" s="64">
        <f t="shared" si="2"/>
        <v>0</v>
      </c>
    </row>
    <row r="35" spans="1:28">
      <c r="A35" s="231">
        <v>2127</v>
      </c>
      <c r="B35" s="4">
        <v>103227</v>
      </c>
      <c r="C35" s="4" t="s">
        <v>317</v>
      </c>
      <c r="D35" s="4" t="s">
        <v>318</v>
      </c>
      <c r="E35" s="4" t="s">
        <v>5</v>
      </c>
      <c r="F35" s="232" t="s">
        <v>229</v>
      </c>
      <c r="H35" s="244">
        <v>0</v>
      </c>
      <c r="I35" s="244"/>
      <c r="J35" s="244"/>
      <c r="K35" s="244">
        <v>54399.67</v>
      </c>
      <c r="L35" s="244"/>
      <c r="M35" s="244"/>
      <c r="N35" s="244">
        <v>0</v>
      </c>
      <c r="O35" s="244">
        <v>0</v>
      </c>
      <c r="P35" s="213">
        <v>0</v>
      </c>
      <c r="Q35" s="229">
        <f t="shared" si="0"/>
        <v>54399.67</v>
      </c>
      <c r="S35" s="37">
        <f t="shared" si="4"/>
        <v>0</v>
      </c>
      <c r="T35" s="37">
        <f t="shared" si="4"/>
        <v>0</v>
      </c>
      <c r="U35" s="37">
        <f t="shared" si="4"/>
        <v>0</v>
      </c>
      <c r="V35" s="37">
        <f t="shared" si="4"/>
        <v>0</v>
      </c>
      <c r="W35" s="37">
        <f t="shared" si="4"/>
        <v>0</v>
      </c>
      <c r="X35" s="37">
        <f t="shared" si="4"/>
        <v>0</v>
      </c>
      <c r="Y35" s="37">
        <f t="shared" si="4"/>
        <v>0</v>
      </c>
      <c r="Z35" s="37">
        <f t="shared" si="4"/>
        <v>0</v>
      </c>
      <c r="AA35" s="37">
        <f t="shared" si="4"/>
        <v>0</v>
      </c>
      <c r="AB35" s="64">
        <f t="shared" si="2"/>
        <v>0</v>
      </c>
    </row>
    <row r="36" spans="1:28">
      <c r="A36" s="231">
        <v>2129</v>
      </c>
      <c r="B36" s="4">
        <v>103229</v>
      </c>
      <c r="C36" s="4" t="s">
        <v>320</v>
      </c>
      <c r="D36" s="4" t="s">
        <v>321</v>
      </c>
      <c r="E36" s="4" t="s">
        <v>5</v>
      </c>
      <c r="F36" s="232" t="s">
        <v>229</v>
      </c>
      <c r="H36" s="244">
        <v>0</v>
      </c>
      <c r="I36" s="244"/>
      <c r="J36" s="244"/>
      <c r="K36" s="244">
        <v>26250</v>
      </c>
      <c r="L36" s="244"/>
      <c r="M36" s="244"/>
      <c r="N36" s="244">
        <v>0</v>
      </c>
      <c r="O36" s="244">
        <v>0</v>
      </c>
      <c r="P36" s="213">
        <v>0</v>
      </c>
      <c r="Q36" s="229">
        <f t="shared" si="0"/>
        <v>26250</v>
      </c>
      <c r="S36" s="37">
        <f t="shared" si="4"/>
        <v>0</v>
      </c>
      <c r="T36" s="37">
        <f t="shared" si="4"/>
        <v>0</v>
      </c>
      <c r="U36" s="37">
        <f t="shared" si="4"/>
        <v>0</v>
      </c>
      <c r="V36" s="37">
        <f t="shared" si="4"/>
        <v>0</v>
      </c>
      <c r="W36" s="37">
        <f t="shared" si="4"/>
        <v>0</v>
      </c>
      <c r="X36" s="37">
        <f t="shared" si="4"/>
        <v>0</v>
      </c>
      <c r="Y36" s="37">
        <f t="shared" si="4"/>
        <v>0</v>
      </c>
      <c r="Z36" s="37">
        <f t="shared" si="4"/>
        <v>0</v>
      </c>
      <c r="AA36" s="37">
        <f t="shared" si="4"/>
        <v>0</v>
      </c>
      <c r="AB36" s="64">
        <f t="shared" si="2"/>
        <v>0</v>
      </c>
    </row>
    <row r="37" spans="1:28">
      <c r="A37" s="231">
        <v>2128</v>
      </c>
      <c r="B37" s="4">
        <v>103228</v>
      </c>
      <c r="C37" s="4" t="s">
        <v>323</v>
      </c>
      <c r="D37" s="4" t="s">
        <v>324</v>
      </c>
      <c r="E37" s="4" t="s">
        <v>5</v>
      </c>
      <c r="F37" s="232" t="s">
        <v>229</v>
      </c>
      <c r="H37" s="244">
        <v>0</v>
      </c>
      <c r="I37" s="244"/>
      <c r="J37" s="244"/>
      <c r="K37" s="244">
        <v>9975</v>
      </c>
      <c r="L37" s="244"/>
      <c r="M37" s="244"/>
      <c r="N37" s="244">
        <v>0</v>
      </c>
      <c r="O37" s="244">
        <v>0</v>
      </c>
      <c r="P37" s="213">
        <v>0</v>
      </c>
      <c r="Q37" s="229">
        <f t="shared" si="0"/>
        <v>9975</v>
      </c>
      <c r="S37" s="37">
        <f t="shared" ref="S37:AA46" si="5">SUMIF($H$3:$P$3,S$6,$H37:$P37)</f>
        <v>0</v>
      </c>
      <c r="T37" s="37">
        <f t="shared" si="5"/>
        <v>0</v>
      </c>
      <c r="U37" s="37">
        <f t="shared" si="5"/>
        <v>0</v>
      </c>
      <c r="V37" s="37">
        <f t="shared" si="5"/>
        <v>0</v>
      </c>
      <c r="W37" s="37">
        <f t="shared" si="5"/>
        <v>0</v>
      </c>
      <c r="X37" s="37">
        <f t="shared" si="5"/>
        <v>0</v>
      </c>
      <c r="Y37" s="37">
        <f t="shared" si="5"/>
        <v>0</v>
      </c>
      <c r="Z37" s="37">
        <f t="shared" si="5"/>
        <v>0</v>
      </c>
      <c r="AA37" s="37">
        <f t="shared" si="5"/>
        <v>0</v>
      </c>
      <c r="AB37" s="64">
        <f t="shared" si="2"/>
        <v>0</v>
      </c>
    </row>
    <row r="38" spans="1:28">
      <c r="A38" s="231">
        <v>2133</v>
      </c>
      <c r="B38" s="4">
        <v>103233</v>
      </c>
      <c r="C38" s="4" t="s">
        <v>326</v>
      </c>
      <c r="D38" s="4" t="s">
        <v>327</v>
      </c>
      <c r="E38" s="4" t="s">
        <v>5</v>
      </c>
      <c r="F38" s="232" t="s">
        <v>229</v>
      </c>
      <c r="H38" s="244">
        <v>0</v>
      </c>
      <c r="I38" s="244"/>
      <c r="J38" s="244"/>
      <c r="K38" s="244">
        <v>35157.5</v>
      </c>
      <c r="L38" s="244"/>
      <c r="M38" s="244"/>
      <c r="N38" s="244">
        <v>0</v>
      </c>
      <c r="O38" s="244">
        <v>0</v>
      </c>
      <c r="P38" s="213">
        <v>0</v>
      </c>
      <c r="Q38" s="229">
        <f t="shared" si="0"/>
        <v>35157.5</v>
      </c>
      <c r="S38" s="37">
        <f t="shared" si="5"/>
        <v>0</v>
      </c>
      <c r="T38" s="37">
        <f t="shared" si="5"/>
        <v>0</v>
      </c>
      <c r="U38" s="37">
        <f t="shared" si="5"/>
        <v>0</v>
      </c>
      <c r="V38" s="37">
        <f t="shared" si="5"/>
        <v>0</v>
      </c>
      <c r="W38" s="37">
        <f t="shared" si="5"/>
        <v>0</v>
      </c>
      <c r="X38" s="37">
        <f t="shared" si="5"/>
        <v>0</v>
      </c>
      <c r="Y38" s="37">
        <f t="shared" si="5"/>
        <v>0</v>
      </c>
      <c r="Z38" s="37">
        <f t="shared" si="5"/>
        <v>0</v>
      </c>
      <c r="AA38" s="37">
        <f t="shared" si="5"/>
        <v>0</v>
      </c>
      <c r="AB38" s="64">
        <f t="shared" si="2"/>
        <v>0</v>
      </c>
    </row>
    <row r="39" spans="1:28">
      <c r="A39" s="231">
        <v>3322</v>
      </c>
      <c r="B39" s="4">
        <v>103426</v>
      </c>
      <c r="C39" s="4" t="s">
        <v>329</v>
      </c>
      <c r="D39" s="4" t="s">
        <v>330</v>
      </c>
      <c r="E39" s="4" t="s">
        <v>5</v>
      </c>
      <c r="F39" s="232" t="s">
        <v>229</v>
      </c>
      <c r="H39" s="244">
        <v>0</v>
      </c>
      <c r="I39" s="244"/>
      <c r="J39" s="244"/>
      <c r="K39" s="244">
        <v>22040</v>
      </c>
      <c r="L39" s="244"/>
      <c r="M39" s="244"/>
      <c r="N39" s="244">
        <v>0</v>
      </c>
      <c r="O39" s="244">
        <v>0</v>
      </c>
      <c r="P39" s="213">
        <v>0</v>
      </c>
      <c r="Q39" s="229">
        <f t="shared" ref="Q39:Q69" si="6">SUM(H39:P39)</f>
        <v>22040</v>
      </c>
      <c r="S39" s="37">
        <f t="shared" si="5"/>
        <v>0</v>
      </c>
      <c r="T39" s="37">
        <f t="shared" si="5"/>
        <v>0</v>
      </c>
      <c r="U39" s="37">
        <f t="shared" si="5"/>
        <v>0</v>
      </c>
      <c r="V39" s="37">
        <f t="shared" si="5"/>
        <v>0</v>
      </c>
      <c r="W39" s="37">
        <f t="shared" si="5"/>
        <v>0</v>
      </c>
      <c r="X39" s="37">
        <f t="shared" si="5"/>
        <v>0</v>
      </c>
      <c r="Y39" s="37">
        <f t="shared" si="5"/>
        <v>0</v>
      </c>
      <c r="Z39" s="37">
        <f t="shared" si="5"/>
        <v>0</v>
      </c>
      <c r="AA39" s="37">
        <f t="shared" si="5"/>
        <v>0</v>
      </c>
      <c r="AB39" s="64">
        <f t="shared" ref="AB39:AB69" si="7">SUM(H39:P39)-Q39</f>
        <v>0</v>
      </c>
    </row>
    <row r="40" spans="1:28">
      <c r="A40" s="231">
        <v>2416</v>
      </c>
      <c r="B40" s="4">
        <v>103351</v>
      </c>
      <c r="C40" s="4" t="s">
        <v>332</v>
      </c>
      <c r="D40" s="4" t="s">
        <v>333</v>
      </c>
      <c r="E40" s="4" t="s">
        <v>5</v>
      </c>
      <c r="F40" s="232" t="s">
        <v>229</v>
      </c>
      <c r="H40" s="244">
        <v>0</v>
      </c>
      <c r="I40" s="244"/>
      <c r="J40" s="244"/>
      <c r="K40" s="244">
        <v>14456.67</v>
      </c>
      <c r="L40" s="244"/>
      <c r="M40" s="244"/>
      <c r="N40" s="244">
        <v>0</v>
      </c>
      <c r="O40" s="244">
        <v>0</v>
      </c>
      <c r="P40" s="213">
        <v>0</v>
      </c>
      <c r="Q40" s="229">
        <f t="shared" si="6"/>
        <v>14456.67</v>
      </c>
      <c r="S40" s="37">
        <f t="shared" si="5"/>
        <v>0</v>
      </c>
      <c r="T40" s="37">
        <f t="shared" si="5"/>
        <v>0</v>
      </c>
      <c r="U40" s="37">
        <f t="shared" si="5"/>
        <v>0</v>
      </c>
      <c r="V40" s="37">
        <f t="shared" si="5"/>
        <v>0</v>
      </c>
      <c r="W40" s="37">
        <f t="shared" si="5"/>
        <v>0</v>
      </c>
      <c r="X40" s="37">
        <f t="shared" si="5"/>
        <v>0</v>
      </c>
      <c r="Y40" s="37">
        <f t="shared" si="5"/>
        <v>0</v>
      </c>
      <c r="Z40" s="37">
        <f t="shared" si="5"/>
        <v>0</v>
      </c>
      <c r="AA40" s="37">
        <f t="shared" si="5"/>
        <v>0</v>
      </c>
      <c r="AB40" s="64">
        <f t="shared" si="7"/>
        <v>0</v>
      </c>
    </row>
    <row r="41" spans="1:28">
      <c r="A41" s="231">
        <v>4245</v>
      </c>
      <c r="B41" s="4">
        <v>103519</v>
      </c>
      <c r="C41" s="4" t="s">
        <v>335</v>
      </c>
      <c r="D41" s="4" t="s">
        <v>336</v>
      </c>
      <c r="E41" s="4" t="s">
        <v>6</v>
      </c>
      <c r="F41" s="232" t="s">
        <v>229</v>
      </c>
      <c r="H41" s="244">
        <v>16878.13</v>
      </c>
      <c r="I41" s="244"/>
      <c r="J41" s="244"/>
      <c r="K41" s="244">
        <v>23467.5</v>
      </c>
      <c r="L41" s="244"/>
      <c r="M41" s="244"/>
      <c r="N41" s="244">
        <v>0</v>
      </c>
      <c r="O41" s="244">
        <v>0</v>
      </c>
      <c r="P41" s="213">
        <v>0</v>
      </c>
      <c r="Q41" s="229">
        <f t="shared" si="6"/>
        <v>40345.630000000005</v>
      </c>
      <c r="S41" s="37">
        <f t="shared" si="5"/>
        <v>0</v>
      </c>
      <c r="T41" s="37">
        <f t="shared" si="5"/>
        <v>0</v>
      </c>
      <c r="U41" s="37">
        <f t="shared" si="5"/>
        <v>0</v>
      </c>
      <c r="V41" s="37">
        <f t="shared" si="5"/>
        <v>0</v>
      </c>
      <c r="W41" s="37">
        <f t="shared" si="5"/>
        <v>0</v>
      </c>
      <c r="X41" s="37">
        <f t="shared" si="5"/>
        <v>0</v>
      </c>
      <c r="Y41" s="37">
        <f t="shared" si="5"/>
        <v>0</v>
      </c>
      <c r="Z41" s="37">
        <f t="shared" si="5"/>
        <v>0</v>
      </c>
      <c r="AA41" s="37">
        <f t="shared" si="5"/>
        <v>0</v>
      </c>
      <c r="AB41" s="64">
        <f t="shared" si="7"/>
        <v>0</v>
      </c>
    </row>
    <row r="42" spans="1:28">
      <c r="A42" s="231">
        <v>7053</v>
      </c>
      <c r="B42" s="4">
        <v>103628</v>
      </c>
      <c r="C42" s="4" t="s">
        <v>338</v>
      </c>
      <c r="D42" s="4" t="s">
        <v>339</v>
      </c>
      <c r="E42" s="4" t="s">
        <v>1093</v>
      </c>
      <c r="F42" s="232" t="s">
        <v>229</v>
      </c>
      <c r="H42" s="244">
        <v>97650</v>
      </c>
      <c r="I42" s="244"/>
      <c r="J42" s="244"/>
      <c r="K42" s="244">
        <v>0</v>
      </c>
      <c r="L42" s="244"/>
      <c r="M42" s="244"/>
      <c r="N42" s="244">
        <v>0</v>
      </c>
      <c r="O42" s="244">
        <v>0</v>
      </c>
      <c r="P42" s="213">
        <v>0</v>
      </c>
      <c r="Q42" s="229">
        <f t="shared" si="6"/>
        <v>97650</v>
      </c>
      <c r="S42" s="37">
        <f t="shared" si="5"/>
        <v>0</v>
      </c>
      <c r="T42" s="37">
        <f t="shared" si="5"/>
        <v>0</v>
      </c>
      <c r="U42" s="37">
        <f t="shared" si="5"/>
        <v>0</v>
      </c>
      <c r="V42" s="37">
        <f t="shared" si="5"/>
        <v>0</v>
      </c>
      <c r="W42" s="37">
        <f t="shared" si="5"/>
        <v>0</v>
      </c>
      <c r="X42" s="37">
        <f t="shared" si="5"/>
        <v>0</v>
      </c>
      <c r="Y42" s="37">
        <f t="shared" si="5"/>
        <v>0</v>
      </c>
      <c r="Z42" s="37">
        <f t="shared" si="5"/>
        <v>0</v>
      </c>
      <c r="AA42" s="37">
        <f t="shared" si="5"/>
        <v>0</v>
      </c>
      <c r="AB42" s="64">
        <f t="shared" si="7"/>
        <v>0</v>
      </c>
    </row>
    <row r="43" spans="1:28">
      <c r="A43" s="231">
        <v>4173</v>
      </c>
      <c r="B43" s="4">
        <v>103497</v>
      </c>
      <c r="C43" s="4" t="s">
        <v>341</v>
      </c>
      <c r="D43" s="4" t="s">
        <v>342</v>
      </c>
      <c r="E43" s="4" t="s">
        <v>6</v>
      </c>
      <c r="F43" s="232" t="s">
        <v>229</v>
      </c>
      <c r="H43" s="244">
        <v>4200</v>
      </c>
      <c r="I43" s="244"/>
      <c r="J43" s="244"/>
      <c r="K43" s="244">
        <v>42128.33</v>
      </c>
      <c r="L43" s="244"/>
      <c r="M43" s="244"/>
      <c r="N43" s="244">
        <v>0</v>
      </c>
      <c r="O43" s="244">
        <v>0</v>
      </c>
      <c r="P43" s="213">
        <v>0</v>
      </c>
      <c r="Q43" s="229">
        <f t="shared" si="6"/>
        <v>46328.33</v>
      </c>
      <c r="S43" s="37">
        <f t="shared" si="5"/>
        <v>0</v>
      </c>
      <c r="T43" s="37">
        <f t="shared" si="5"/>
        <v>0</v>
      </c>
      <c r="U43" s="37">
        <f t="shared" si="5"/>
        <v>0</v>
      </c>
      <c r="V43" s="37">
        <f t="shared" si="5"/>
        <v>0</v>
      </c>
      <c r="W43" s="37">
        <f t="shared" si="5"/>
        <v>0</v>
      </c>
      <c r="X43" s="37">
        <f t="shared" si="5"/>
        <v>0</v>
      </c>
      <c r="Y43" s="37">
        <f t="shared" si="5"/>
        <v>0</v>
      </c>
      <c r="Z43" s="37">
        <f t="shared" si="5"/>
        <v>0</v>
      </c>
      <c r="AA43" s="37">
        <f t="shared" si="5"/>
        <v>0</v>
      </c>
      <c r="AB43" s="64">
        <f t="shared" si="7"/>
        <v>0</v>
      </c>
    </row>
    <row r="44" spans="1:28">
      <c r="A44" s="231">
        <v>7033</v>
      </c>
      <c r="B44" s="4">
        <v>103613</v>
      </c>
      <c r="C44" s="4" t="s">
        <v>344</v>
      </c>
      <c r="D44" s="4" t="s">
        <v>345</v>
      </c>
      <c r="E44" s="4" t="s">
        <v>1093</v>
      </c>
      <c r="F44" s="232" t="s">
        <v>229</v>
      </c>
      <c r="H44" s="244">
        <v>64050</v>
      </c>
      <c r="I44" s="244"/>
      <c r="J44" s="244"/>
      <c r="K44" s="244">
        <v>0</v>
      </c>
      <c r="L44" s="244"/>
      <c r="M44" s="244"/>
      <c r="N44" s="244">
        <v>0</v>
      </c>
      <c r="O44" s="244">
        <v>0</v>
      </c>
      <c r="P44" s="213">
        <v>0</v>
      </c>
      <c r="Q44" s="229">
        <f t="shared" si="6"/>
        <v>64050</v>
      </c>
      <c r="S44" s="37">
        <f t="shared" si="5"/>
        <v>0</v>
      </c>
      <c r="T44" s="37">
        <f t="shared" si="5"/>
        <v>0</v>
      </c>
      <c r="U44" s="37">
        <f t="shared" si="5"/>
        <v>0</v>
      </c>
      <c r="V44" s="37">
        <f t="shared" si="5"/>
        <v>0</v>
      </c>
      <c r="W44" s="37">
        <f t="shared" si="5"/>
        <v>0</v>
      </c>
      <c r="X44" s="37">
        <f t="shared" si="5"/>
        <v>0</v>
      </c>
      <c r="Y44" s="37">
        <f t="shared" si="5"/>
        <v>0</v>
      </c>
      <c r="Z44" s="37">
        <f t="shared" si="5"/>
        <v>0</v>
      </c>
      <c r="AA44" s="37">
        <f t="shared" si="5"/>
        <v>0</v>
      </c>
      <c r="AB44" s="64">
        <f t="shared" si="7"/>
        <v>0</v>
      </c>
    </row>
    <row r="45" spans="1:28">
      <c r="A45" s="231">
        <v>4177</v>
      </c>
      <c r="B45" s="4">
        <v>103498</v>
      </c>
      <c r="C45" s="4" t="s">
        <v>347</v>
      </c>
      <c r="D45" s="4" t="s">
        <v>348</v>
      </c>
      <c r="E45" s="4" t="s">
        <v>6</v>
      </c>
      <c r="F45" s="232" t="s">
        <v>229</v>
      </c>
      <c r="H45" s="244">
        <v>0</v>
      </c>
      <c r="I45" s="244"/>
      <c r="J45" s="244"/>
      <c r="K45" s="244">
        <v>10762.5</v>
      </c>
      <c r="L45" s="244"/>
      <c r="M45" s="244"/>
      <c r="N45" s="244">
        <v>41996.916666666672</v>
      </c>
      <c r="O45" s="244">
        <v>0</v>
      </c>
      <c r="P45" s="213">
        <v>0</v>
      </c>
      <c r="Q45" s="229">
        <f t="shared" si="6"/>
        <v>52759.416666666672</v>
      </c>
      <c r="S45" s="37">
        <f t="shared" si="5"/>
        <v>41996.916666666672</v>
      </c>
      <c r="T45" s="37">
        <f t="shared" si="5"/>
        <v>0</v>
      </c>
      <c r="U45" s="37">
        <f t="shared" si="5"/>
        <v>0</v>
      </c>
      <c r="V45" s="37">
        <f t="shared" si="5"/>
        <v>0</v>
      </c>
      <c r="W45" s="37">
        <f t="shared" si="5"/>
        <v>0</v>
      </c>
      <c r="X45" s="37">
        <f t="shared" si="5"/>
        <v>0</v>
      </c>
      <c r="Y45" s="37">
        <f t="shared" si="5"/>
        <v>0</v>
      </c>
      <c r="Z45" s="37">
        <f t="shared" si="5"/>
        <v>0</v>
      </c>
      <c r="AA45" s="37">
        <f t="shared" si="5"/>
        <v>0</v>
      </c>
      <c r="AB45" s="64">
        <f t="shared" si="7"/>
        <v>0</v>
      </c>
    </row>
    <row r="46" spans="1:28">
      <c r="A46" s="231">
        <v>1038</v>
      </c>
      <c r="B46" s="4">
        <v>103142</v>
      </c>
      <c r="C46" s="4" t="s">
        <v>350</v>
      </c>
      <c r="D46" s="4" t="s">
        <v>351</v>
      </c>
      <c r="E46" s="4" t="s">
        <v>180</v>
      </c>
      <c r="F46" s="232" t="s">
        <v>229</v>
      </c>
      <c r="H46" s="244">
        <v>0</v>
      </c>
      <c r="I46" s="244"/>
      <c r="J46" s="244"/>
      <c r="K46" s="244">
        <v>48377.5</v>
      </c>
      <c r="L46" s="244"/>
      <c r="M46" s="244"/>
      <c r="N46" s="244">
        <v>0</v>
      </c>
      <c r="O46" s="244">
        <v>0</v>
      </c>
      <c r="P46" s="213">
        <v>0</v>
      </c>
      <c r="Q46" s="229">
        <f t="shared" si="6"/>
        <v>48377.5</v>
      </c>
      <c r="S46" s="37">
        <f t="shared" si="5"/>
        <v>0</v>
      </c>
      <c r="T46" s="37">
        <f t="shared" si="5"/>
        <v>0</v>
      </c>
      <c r="U46" s="37">
        <f t="shared" si="5"/>
        <v>0</v>
      </c>
      <c r="V46" s="37">
        <f t="shared" si="5"/>
        <v>0</v>
      </c>
      <c r="W46" s="37">
        <f t="shared" si="5"/>
        <v>0</v>
      </c>
      <c r="X46" s="37">
        <f t="shared" si="5"/>
        <v>0</v>
      </c>
      <c r="Y46" s="37">
        <f t="shared" si="5"/>
        <v>0</v>
      </c>
      <c r="Z46" s="37">
        <f t="shared" si="5"/>
        <v>0</v>
      </c>
      <c r="AA46" s="37">
        <f t="shared" si="5"/>
        <v>0</v>
      </c>
      <c r="AB46" s="64">
        <f t="shared" si="7"/>
        <v>0</v>
      </c>
    </row>
    <row r="47" spans="1:28">
      <c r="A47" s="231">
        <v>2174</v>
      </c>
      <c r="B47" s="4">
        <v>103255</v>
      </c>
      <c r="C47" s="4" t="s">
        <v>353</v>
      </c>
      <c r="D47" s="4" t="s">
        <v>354</v>
      </c>
      <c r="E47" s="4" t="s">
        <v>5</v>
      </c>
      <c r="F47" s="232" t="s">
        <v>229</v>
      </c>
      <c r="H47" s="244">
        <v>0</v>
      </c>
      <c r="I47" s="244"/>
      <c r="J47" s="244"/>
      <c r="K47" s="244">
        <v>18170.5</v>
      </c>
      <c r="L47" s="244"/>
      <c r="M47" s="244"/>
      <c r="N47" s="244">
        <v>0</v>
      </c>
      <c r="O47" s="244">
        <v>0</v>
      </c>
      <c r="P47" s="213">
        <v>100086.00000000001</v>
      </c>
      <c r="Q47" s="229">
        <f t="shared" si="6"/>
        <v>118256.50000000001</v>
      </c>
      <c r="S47" s="37">
        <f t="shared" ref="S47:AA56" si="8">SUMIF($H$3:$P$3,S$6,$H47:$P47)</f>
        <v>100086.00000000001</v>
      </c>
      <c r="T47" s="37">
        <f t="shared" si="8"/>
        <v>0</v>
      </c>
      <c r="U47" s="37">
        <f t="shared" si="8"/>
        <v>0</v>
      </c>
      <c r="V47" s="37">
        <f t="shared" si="8"/>
        <v>0</v>
      </c>
      <c r="W47" s="37">
        <f t="shared" si="8"/>
        <v>0</v>
      </c>
      <c r="X47" s="37">
        <f t="shared" si="8"/>
        <v>0</v>
      </c>
      <c r="Y47" s="37">
        <f t="shared" si="8"/>
        <v>0</v>
      </c>
      <c r="Z47" s="37">
        <f t="shared" si="8"/>
        <v>0</v>
      </c>
      <c r="AA47" s="37">
        <f t="shared" si="8"/>
        <v>0</v>
      </c>
      <c r="AB47" s="64">
        <f t="shared" si="7"/>
        <v>0</v>
      </c>
    </row>
    <row r="48" spans="1:28">
      <c r="A48" s="231">
        <v>3363</v>
      </c>
      <c r="B48" s="4">
        <v>103455</v>
      </c>
      <c r="C48" s="4" t="s">
        <v>356</v>
      </c>
      <c r="D48" s="4" t="s">
        <v>357</v>
      </c>
      <c r="E48" s="4" t="s">
        <v>5</v>
      </c>
      <c r="F48" s="232" t="s">
        <v>229</v>
      </c>
      <c r="H48" s="244">
        <v>0</v>
      </c>
      <c r="I48" s="244"/>
      <c r="J48" s="244"/>
      <c r="K48" s="244">
        <v>5250</v>
      </c>
      <c r="L48" s="244"/>
      <c r="M48" s="244"/>
      <c r="N48" s="244">
        <v>0</v>
      </c>
      <c r="O48" s="244">
        <v>0</v>
      </c>
      <c r="P48" s="213">
        <v>0</v>
      </c>
      <c r="Q48" s="229">
        <f t="shared" si="6"/>
        <v>5250</v>
      </c>
      <c r="S48" s="37">
        <f t="shared" si="8"/>
        <v>0</v>
      </c>
      <c r="T48" s="37">
        <f t="shared" si="8"/>
        <v>0</v>
      </c>
      <c r="U48" s="37">
        <f t="shared" si="8"/>
        <v>0</v>
      </c>
      <c r="V48" s="37">
        <f t="shared" si="8"/>
        <v>0</v>
      </c>
      <c r="W48" s="37">
        <f t="shared" si="8"/>
        <v>0</v>
      </c>
      <c r="X48" s="37">
        <f t="shared" si="8"/>
        <v>0</v>
      </c>
      <c r="Y48" s="37">
        <f t="shared" si="8"/>
        <v>0</v>
      </c>
      <c r="Z48" s="37">
        <f t="shared" si="8"/>
        <v>0</v>
      </c>
      <c r="AA48" s="37">
        <f t="shared" si="8"/>
        <v>0</v>
      </c>
      <c r="AB48" s="64">
        <f t="shared" si="7"/>
        <v>0</v>
      </c>
    </row>
    <row r="49" spans="1:28">
      <c r="A49" s="231">
        <v>3377</v>
      </c>
      <c r="B49" s="4">
        <v>103463</v>
      </c>
      <c r="C49" s="4" t="s">
        <v>359</v>
      </c>
      <c r="D49" s="4" t="s">
        <v>360</v>
      </c>
      <c r="E49" s="4" t="s">
        <v>5</v>
      </c>
      <c r="F49" s="232" t="s">
        <v>229</v>
      </c>
      <c r="H49" s="244">
        <v>0</v>
      </c>
      <c r="I49" s="244"/>
      <c r="J49" s="244"/>
      <c r="K49" s="244">
        <v>11758.33</v>
      </c>
      <c r="L49" s="244"/>
      <c r="M49" s="244"/>
      <c r="N49" s="244">
        <v>0</v>
      </c>
      <c r="O49" s="244">
        <v>0</v>
      </c>
      <c r="P49" s="213">
        <v>0</v>
      </c>
      <c r="Q49" s="229">
        <f t="shared" si="6"/>
        <v>11758.33</v>
      </c>
      <c r="S49" s="37">
        <f t="shared" si="8"/>
        <v>0</v>
      </c>
      <c r="T49" s="37">
        <f t="shared" si="8"/>
        <v>0</v>
      </c>
      <c r="U49" s="37">
        <f t="shared" si="8"/>
        <v>0</v>
      </c>
      <c r="V49" s="37">
        <f t="shared" si="8"/>
        <v>0</v>
      </c>
      <c r="W49" s="37">
        <f t="shared" si="8"/>
        <v>0</v>
      </c>
      <c r="X49" s="37">
        <f t="shared" si="8"/>
        <v>0</v>
      </c>
      <c r="Y49" s="37">
        <f t="shared" si="8"/>
        <v>0</v>
      </c>
      <c r="Z49" s="37">
        <f t="shared" si="8"/>
        <v>0</v>
      </c>
      <c r="AA49" s="37">
        <f t="shared" si="8"/>
        <v>0</v>
      </c>
      <c r="AB49" s="64">
        <f t="shared" si="7"/>
        <v>0</v>
      </c>
    </row>
    <row r="50" spans="1:28">
      <c r="A50" s="231">
        <v>3371</v>
      </c>
      <c r="B50" s="4">
        <v>103459</v>
      </c>
      <c r="C50" s="4" t="s">
        <v>362</v>
      </c>
      <c r="D50" s="4" t="s">
        <v>363</v>
      </c>
      <c r="E50" s="4" t="s">
        <v>5</v>
      </c>
      <c r="F50" s="232" t="s">
        <v>229</v>
      </c>
      <c r="H50" s="244">
        <v>0</v>
      </c>
      <c r="I50" s="244"/>
      <c r="J50" s="244"/>
      <c r="K50" s="244">
        <v>7080</v>
      </c>
      <c r="L50" s="244"/>
      <c r="M50" s="244"/>
      <c r="N50" s="244">
        <v>0</v>
      </c>
      <c r="O50" s="244">
        <v>0</v>
      </c>
      <c r="P50" s="213">
        <v>0</v>
      </c>
      <c r="Q50" s="229">
        <f t="shared" si="6"/>
        <v>7080</v>
      </c>
      <c r="S50" s="37">
        <f t="shared" si="8"/>
        <v>0</v>
      </c>
      <c r="T50" s="37">
        <f t="shared" si="8"/>
        <v>0</v>
      </c>
      <c r="U50" s="37">
        <f t="shared" si="8"/>
        <v>0</v>
      </c>
      <c r="V50" s="37">
        <f t="shared" si="8"/>
        <v>0</v>
      </c>
      <c r="W50" s="37">
        <f t="shared" si="8"/>
        <v>0</v>
      </c>
      <c r="X50" s="37">
        <f t="shared" si="8"/>
        <v>0</v>
      </c>
      <c r="Y50" s="37">
        <f t="shared" si="8"/>
        <v>0</v>
      </c>
      <c r="Z50" s="37">
        <f t="shared" si="8"/>
        <v>0</v>
      </c>
      <c r="AA50" s="37">
        <f t="shared" si="8"/>
        <v>0</v>
      </c>
      <c r="AB50" s="64">
        <f t="shared" si="7"/>
        <v>0</v>
      </c>
    </row>
    <row r="51" spans="1:28">
      <c r="A51" s="231">
        <v>3016</v>
      </c>
      <c r="B51" s="4">
        <v>103404</v>
      </c>
      <c r="C51" s="4" t="s">
        <v>365</v>
      </c>
      <c r="D51" s="4" t="s">
        <v>366</v>
      </c>
      <c r="E51" s="4" t="s">
        <v>5</v>
      </c>
      <c r="F51" s="232" t="s">
        <v>229</v>
      </c>
      <c r="H51" s="244">
        <v>0</v>
      </c>
      <c r="I51" s="244"/>
      <c r="J51" s="244"/>
      <c r="K51" s="244">
        <v>25550</v>
      </c>
      <c r="L51" s="244"/>
      <c r="M51" s="244"/>
      <c r="N51" s="244">
        <v>0</v>
      </c>
      <c r="O51" s="244">
        <v>0</v>
      </c>
      <c r="P51" s="213">
        <v>0</v>
      </c>
      <c r="Q51" s="229">
        <f t="shared" si="6"/>
        <v>25550</v>
      </c>
      <c r="S51" s="37">
        <f t="shared" si="8"/>
        <v>0</v>
      </c>
      <c r="T51" s="37">
        <f t="shared" si="8"/>
        <v>0</v>
      </c>
      <c r="U51" s="37">
        <f t="shared" si="8"/>
        <v>0</v>
      </c>
      <c r="V51" s="37">
        <f t="shared" si="8"/>
        <v>0</v>
      </c>
      <c r="W51" s="37">
        <f t="shared" si="8"/>
        <v>0</v>
      </c>
      <c r="X51" s="37">
        <f t="shared" si="8"/>
        <v>0</v>
      </c>
      <c r="Y51" s="37">
        <f t="shared" si="8"/>
        <v>0</v>
      </c>
      <c r="Z51" s="37">
        <f t="shared" si="8"/>
        <v>0</v>
      </c>
      <c r="AA51" s="37">
        <f t="shared" si="8"/>
        <v>0</v>
      </c>
      <c r="AB51" s="64">
        <f t="shared" si="7"/>
        <v>0</v>
      </c>
    </row>
    <row r="52" spans="1:28">
      <c r="A52" s="231">
        <v>4606</v>
      </c>
      <c r="B52" s="4">
        <v>103531</v>
      </c>
      <c r="C52" s="4" t="s">
        <v>368</v>
      </c>
      <c r="D52" s="4" t="s">
        <v>369</v>
      </c>
      <c r="E52" s="4" t="s">
        <v>6</v>
      </c>
      <c r="F52" s="232" t="s">
        <v>229</v>
      </c>
      <c r="H52" s="244">
        <v>0</v>
      </c>
      <c r="I52" s="244"/>
      <c r="J52" s="244"/>
      <c r="K52" s="244">
        <v>12285</v>
      </c>
      <c r="L52" s="244"/>
      <c r="M52" s="244"/>
      <c r="N52" s="244">
        <v>0</v>
      </c>
      <c r="O52" s="244">
        <v>0</v>
      </c>
      <c r="P52" s="213">
        <v>0</v>
      </c>
      <c r="Q52" s="229">
        <f t="shared" si="6"/>
        <v>12285</v>
      </c>
      <c r="S52" s="37">
        <f t="shared" si="8"/>
        <v>0</v>
      </c>
      <c r="T52" s="37">
        <f t="shared" si="8"/>
        <v>0</v>
      </c>
      <c r="U52" s="37">
        <f t="shared" si="8"/>
        <v>0</v>
      </c>
      <c r="V52" s="37">
        <f t="shared" si="8"/>
        <v>0</v>
      </c>
      <c r="W52" s="37">
        <f t="shared" si="8"/>
        <v>0</v>
      </c>
      <c r="X52" s="37">
        <f t="shared" si="8"/>
        <v>0</v>
      </c>
      <c r="Y52" s="37">
        <f t="shared" si="8"/>
        <v>0</v>
      </c>
      <c r="Z52" s="37">
        <f t="shared" si="8"/>
        <v>0</v>
      </c>
      <c r="AA52" s="37">
        <f t="shared" si="8"/>
        <v>0</v>
      </c>
      <c r="AB52" s="64">
        <f t="shared" si="7"/>
        <v>0</v>
      </c>
    </row>
    <row r="53" spans="1:28">
      <c r="A53" s="231">
        <v>3428</v>
      </c>
      <c r="B53" s="4">
        <v>134476</v>
      </c>
      <c r="C53" s="4" t="s">
        <v>371</v>
      </c>
      <c r="D53" s="4" t="s">
        <v>372</v>
      </c>
      <c r="E53" s="4" t="s">
        <v>5</v>
      </c>
      <c r="F53" s="232" t="s">
        <v>229</v>
      </c>
      <c r="H53" s="244">
        <v>0</v>
      </c>
      <c r="I53" s="244"/>
      <c r="J53" s="244"/>
      <c r="K53" s="244">
        <v>37467.5</v>
      </c>
      <c r="L53" s="244"/>
      <c r="M53" s="244"/>
      <c r="N53" s="244">
        <v>0</v>
      </c>
      <c r="O53" s="244">
        <v>0</v>
      </c>
      <c r="P53" s="213">
        <v>0</v>
      </c>
      <c r="Q53" s="229">
        <f t="shared" si="6"/>
        <v>37467.5</v>
      </c>
      <c r="S53" s="37">
        <f t="shared" si="8"/>
        <v>0</v>
      </c>
      <c r="T53" s="37">
        <f t="shared" si="8"/>
        <v>0</v>
      </c>
      <c r="U53" s="37">
        <f t="shared" si="8"/>
        <v>0</v>
      </c>
      <c r="V53" s="37">
        <f t="shared" si="8"/>
        <v>0</v>
      </c>
      <c r="W53" s="37">
        <f t="shared" si="8"/>
        <v>0</v>
      </c>
      <c r="X53" s="37">
        <f t="shared" si="8"/>
        <v>0</v>
      </c>
      <c r="Y53" s="37">
        <f t="shared" si="8"/>
        <v>0</v>
      </c>
      <c r="Z53" s="37">
        <f t="shared" si="8"/>
        <v>0</v>
      </c>
      <c r="AA53" s="37">
        <f t="shared" si="8"/>
        <v>0</v>
      </c>
      <c r="AB53" s="64">
        <f t="shared" si="7"/>
        <v>0</v>
      </c>
    </row>
    <row r="54" spans="1:28">
      <c r="A54" s="231">
        <v>4237</v>
      </c>
      <c r="B54" s="4">
        <v>103514</v>
      </c>
      <c r="C54" s="4" t="s">
        <v>374</v>
      </c>
      <c r="D54" s="4" t="s">
        <v>375</v>
      </c>
      <c r="E54" s="4" t="s">
        <v>6</v>
      </c>
      <c r="F54" s="232" t="s">
        <v>229</v>
      </c>
      <c r="H54" s="244">
        <v>0</v>
      </c>
      <c r="I54" s="244"/>
      <c r="J54" s="244"/>
      <c r="K54" s="244">
        <v>34871.67</v>
      </c>
      <c r="L54" s="244"/>
      <c r="M54" s="244"/>
      <c r="N54" s="244">
        <v>125990.75</v>
      </c>
      <c r="O54" s="244">
        <v>88193.525000000009</v>
      </c>
      <c r="P54" s="213">
        <v>0</v>
      </c>
      <c r="Q54" s="229">
        <f t="shared" si="6"/>
        <v>249055.94500000001</v>
      </c>
      <c r="S54" s="37">
        <f t="shared" si="8"/>
        <v>214184.27500000002</v>
      </c>
      <c r="T54" s="37">
        <f t="shared" si="8"/>
        <v>0</v>
      </c>
      <c r="U54" s="37">
        <f t="shared" si="8"/>
        <v>0</v>
      </c>
      <c r="V54" s="37">
        <f t="shared" si="8"/>
        <v>0</v>
      </c>
      <c r="W54" s="37">
        <f t="shared" si="8"/>
        <v>0</v>
      </c>
      <c r="X54" s="37">
        <f t="shared" si="8"/>
        <v>0</v>
      </c>
      <c r="Y54" s="37">
        <f t="shared" si="8"/>
        <v>0</v>
      </c>
      <c r="Z54" s="37">
        <f t="shared" si="8"/>
        <v>0</v>
      </c>
      <c r="AA54" s="37">
        <f t="shared" si="8"/>
        <v>0</v>
      </c>
      <c r="AB54" s="64">
        <f t="shared" si="7"/>
        <v>0</v>
      </c>
    </row>
    <row r="55" spans="1:28">
      <c r="A55" s="231">
        <v>3323</v>
      </c>
      <c r="B55" s="4">
        <v>103427</v>
      </c>
      <c r="C55" s="4" t="s">
        <v>377</v>
      </c>
      <c r="D55" s="4" t="s">
        <v>378</v>
      </c>
      <c r="E55" s="4" t="s">
        <v>5</v>
      </c>
      <c r="F55" s="232" t="s">
        <v>229</v>
      </c>
      <c r="H55" s="244">
        <v>0</v>
      </c>
      <c r="I55" s="244"/>
      <c r="J55" s="244"/>
      <c r="K55" s="244">
        <v>32738.33</v>
      </c>
      <c r="L55" s="244"/>
      <c r="M55" s="244"/>
      <c r="N55" s="244">
        <v>0</v>
      </c>
      <c r="O55" s="244">
        <v>0</v>
      </c>
      <c r="P55" s="213">
        <v>0</v>
      </c>
      <c r="Q55" s="229">
        <f t="shared" si="6"/>
        <v>32738.33</v>
      </c>
      <c r="S55" s="37">
        <f t="shared" si="8"/>
        <v>0</v>
      </c>
      <c r="T55" s="37">
        <f t="shared" si="8"/>
        <v>0</v>
      </c>
      <c r="U55" s="37">
        <f t="shared" si="8"/>
        <v>0</v>
      </c>
      <c r="V55" s="37">
        <f t="shared" si="8"/>
        <v>0</v>
      </c>
      <c r="W55" s="37">
        <f t="shared" si="8"/>
        <v>0</v>
      </c>
      <c r="X55" s="37">
        <f t="shared" si="8"/>
        <v>0</v>
      </c>
      <c r="Y55" s="37">
        <f t="shared" si="8"/>
        <v>0</v>
      </c>
      <c r="Z55" s="37">
        <f t="shared" si="8"/>
        <v>0</v>
      </c>
      <c r="AA55" s="37">
        <f t="shared" si="8"/>
        <v>0</v>
      </c>
      <c r="AB55" s="64">
        <f t="shared" si="7"/>
        <v>0</v>
      </c>
    </row>
    <row r="56" spans="1:28">
      <c r="A56" s="231">
        <v>7014</v>
      </c>
      <c r="B56" s="4">
        <v>103605</v>
      </c>
      <c r="C56" s="4" t="s">
        <v>380</v>
      </c>
      <c r="D56" s="4" t="s">
        <v>381</v>
      </c>
      <c r="E56" s="4" t="s">
        <v>1093</v>
      </c>
      <c r="F56" s="232" t="s">
        <v>229</v>
      </c>
      <c r="H56" s="244">
        <v>102900</v>
      </c>
      <c r="I56" s="244"/>
      <c r="J56" s="244"/>
      <c r="K56" s="244">
        <v>0</v>
      </c>
      <c r="L56" s="244"/>
      <c r="M56" s="244"/>
      <c r="N56" s="244">
        <v>0</v>
      </c>
      <c r="O56" s="244">
        <v>0</v>
      </c>
      <c r="P56" s="213">
        <v>0</v>
      </c>
      <c r="Q56" s="229">
        <f t="shared" si="6"/>
        <v>102900</v>
      </c>
      <c r="S56" s="37">
        <f t="shared" si="8"/>
        <v>0</v>
      </c>
      <c r="T56" s="37">
        <f t="shared" si="8"/>
        <v>0</v>
      </c>
      <c r="U56" s="37">
        <f t="shared" si="8"/>
        <v>0</v>
      </c>
      <c r="V56" s="37">
        <f t="shared" si="8"/>
        <v>0</v>
      </c>
      <c r="W56" s="37">
        <f t="shared" si="8"/>
        <v>0</v>
      </c>
      <c r="X56" s="37">
        <f t="shared" si="8"/>
        <v>0</v>
      </c>
      <c r="Y56" s="37">
        <f t="shared" si="8"/>
        <v>0</v>
      </c>
      <c r="Z56" s="37">
        <f t="shared" si="8"/>
        <v>0</v>
      </c>
      <c r="AA56" s="37">
        <f t="shared" si="8"/>
        <v>0</v>
      </c>
      <c r="AB56" s="64">
        <f t="shared" si="7"/>
        <v>0</v>
      </c>
    </row>
    <row r="57" spans="1:28">
      <c r="A57" s="231">
        <v>7009</v>
      </c>
      <c r="B57" s="4">
        <v>103601</v>
      </c>
      <c r="C57" s="4" t="s">
        <v>383</v>
      </c>
      <c r="D57" s="4" t="s">
        <v>384</v>
      </c>
      <c r="E57" s="4" t="s">
        <v>1093</v>
      </c>
      <c r="F57" s="232" t="s">
        <v>229</v>
      </c>
      <c r="H57" s="244">
        <v>53550</v>
      </c>
      <c r="I57" s="244"/>
      <c r="J57" s="244"/>
      <c r="K57" s="244">
        <v>0</v>
      </c>
      <c r="L57" s="244"/>
      <c r="M57" s="244"/>
      <c r="N57" s="244">
        <v>0</v>
      </c>
      <c r="O57" s="244">
        <v>0</v>
      </c>
      <c r="P57" s="213">
        <v>0</v>
      </c>
      <c r="Q57" s="229">
        <f t="shared" si="6"/>
        <v>53550</v>
      </c>
      <c r="S57" s="37">
        <f t="shared" ref="S57:AA69" si="9">SUMIF($H$3:$P$3,S$6,$H57:$P57)</f>
        <v>0</v>
      </c>
      <c r="T57" s="37">
        <f t="shared" si="9"/>
        <v>0</v>
      </c>
      <c r="U57" s="37">
        <f t="shared" si="9"/>
        <v>0</v>
      </c>
      <c r="V57" s="37">
        <f t="shared" si="9"/>
        <v>0</v>
      </c>
      <c r="W57" s="37">
        <f t="shared" si="9"/>
        <v>0</v>
      </c>
      <c r="X57" s="37">
        <f t="shared" si="9"/>
        <v>0</v>
      </c>
      <c r="Y57" s="37">
        <f t="shared" si="9"/>
        <v>0</v>
      </c>
      <c r="Z57" s="37">
        <f t="shared" si="9"/>
        <v>0</v>
      </c>
      <c r="AA57" s="37">
        <f t="shared" si="9"/>
        <v>0</v>
      </c>
      <c r="AB57" s="64">
        <f t="shared" si="7"/>
        <v>0</v>
      </c>
    </row>
    <row r="58" spans="1:28">
      <c r="A58" s="231">
        <v>5203</v>
      </c>
      <c r="B58" s="4">
        <v>103544</v>
      </c>
      <c r="C58" s="4" t="s">
        <v>386</v>
      </c>
      <c r="D58" s="4" t="s">
        <v>387</v>
      </c>
      <c r="E58" s="4" t="s">
        <v>5</v>
      </c>
      <c r="F58" s="232" t="s">
        <v>229</v>
      </c>
      <c r="H58" s="244">
        <v>0</v>
      </c>
      <c r="I58" s="244"/>
      <c r="J58" s="244"/>
      <c r="K58" s="244">
        <v>17312.5</v>
      </c>
      <c r="L58" s="244"/>
      <c r="M58" s="244"/>
      <c r="N58" s="244">
        <v>0</v>
      </c>
      <c r="O58" s="244">
        <v>0</v>
      </c>
      <c r="P58" s="213">
        <v>0</v>
      </c>
      <c r="Q58" s="229">
        <f t="shared" si="6"/>
        <v>17312.5</v>
      </c>
      <c r="S58" s="37">
        <f t="shared" si="9"/>
        <v>0</v>
      </c>
      <c r="T58" s="37">
        <f t="shared" si="9"/>
        <v>0</v>
      </c>
      <c r="U58" s="37">
        <f t="shared" si="9"/>
        <v>0</v>
      </c>
      <c r="V58" s="37">
        <f t="shared" si="9"/>
        <v>0</v>
      </c>
      <c r="W58" s="37">
        <f t="shared" si="9"/>
        <v>0</v>
      </c>
      <c r="X58" s="37">
        <f t="shared" si="9"/>
        <v>0</v>
      </c>
      <c r="Y58" s="37">
        <f t="shared" si="9"/>
        <v>0</v>
      </c>
      <c r="Z58" s="37">
        <f t="shared" si="9"/>
        <v>0</v>
      </c>
      <c r="AA58" s="37">
        <f t="shared" si="9"/>
        <v>0</v>
      </c>
      <c r="AB58" s="64">
        <f t="shared" si="7"/>
        <v>0</v>
      </c>
    </row>
    <row r="59" spans="1:28">
      <c r="A59" s="231">
        <v>5202</v>
      </c>
      <c r="B59" s="4">
        <v>103543</v>
      </c>
      <c r="C59" s="4" t="s">
        <v>389</v>
      </c>
      <c r="D59" s="4" t="s">
        <v>390</v>
      </c>
      <c r="E59" s="4" t="s">
        <v>5</v>
      </c>
      <c r="F59" s="232" t="s">
        <v>229</v>
      </c>
      <c r="H59" s="244">
        <v>0</v>
      </c>
      <c r="I59" s="244"/>
      <c r="J59" s="244"/>
      <c r="K59" s="244">
        <v>46884.67</v>
      </c>
      <c r="L59" s="244"/>
      <c r="M59" s="244"/>
      <c r="N59" s="244">
        <v>0</v>
      </c>
      <c r="O59" s="244">
        <v>0</v>
      </c>
      <c r="P59" s="213">
        <v>0</v>
      </c>
      <c r="Q59" s="229">
        <f t="shared" si="6"/>
        <v>46884.67</v>
      </c>
      <c r="S59" s="37">
        <f t="shared" si="9"/>
        <v>0</v>
      </c>
      <c r="T59" s="37">
        <f t="shared" si="9"/>
        <v>0</v>
      </c>
      <c r="U59" s="37">
        <f t="shared" si="9"/>
        <v>0</v>
      </c>
      <c r="V59" s="37">
        <f t="shared" si="9"/>
        <v>0</v>
      </c>
      <c r="W59" s="37">
        <f t="shared" si="9"/>
        <v>0</v>
      </c>
      <c r="X59" s="37">
        <f t="shared" si="9"/>
        <v>0</v>
      </c>
      <c r="Y59" s="37">
        <f t="shared" si="9"/>
        <v>0</v>
      </c>
      <c r="Z59" s="37">
        <f t="shared" si="9"/>
        <v>0</v>
      </c>
      <c r="AA59" s="37">
        <f t="shared" si="9"/>
        <v>0</v>
      </c>
      <c r="AB59" s="64">
        <f t="shared" si="7"/>
        <v>0</v>
      </c>
    </row>
    <row r="60" spans="1:28">
      <c r="A60" s="231">
        <v>2308</v>
      </c>
      <c r="B60" s="4">
        <v>103328</v>
      </c>
      <c r="C60" s="4" t="s">
        <v>392</v>
      </c>
      <c r="D60" s="4" t="s">
        <v>393</v>
      </c>
      <c r="E60" s="4" t="s">
        <v>5</v>
      </c>
      <c r="F60" s="232" t="s">
        <v>229</v>
      </c>
      <c r="H60" s="244">
        <v>0</v>
      </c>
      <c r="I60" s="244"/>
      <c r="J60" s="244"/>
      <c r="K60" s="244">
        <v>28533.83</v>
      </c>
      <c r="L60" s="244"/>
      <c r="M60" s="244"/>
      <c r="N60" s="244">
        <v>0</v>
      </c>
      <c r="O60" s="244">
        <v>0</v>
      </c>
      <c r="P60" s="213">
        <v>0</v>
      </c>
      <c r="Q60" s="229">
        <f t="shared" si="6"/>
        <v>28533.83</v>
      </c>
      <c r="S60" s="37">
        <f t="shared" si="9"/>
        <v>0</v>
      </c>
      <c r="T60" s="37">
        <f t="shared" si="9"/>
        <v>0</v>
      </c>
      <c r="U60" s="37">
        <f t="shared" si="9"/>
        <v>0</v>
      </c>
      <c r="V60" s="37">
        <f t="shared" si="9"/>
        <v>0</v>
      </c>
      <c r="W60" s="37">
        <f t="shared" si="9"/>
        <v>0</v>
      </c>
      <c r="X60" s="37">
        <f t="shared" si="9"/>
        <v>0</v>
      </c>
      <c r="Y60" s="37">
        <f t="shared" si="9"/>
        <v>0</v>
      </c>
      <c r="Z60" s="37">
        <f t="shared" si="9"/>
        <v>0</v>
      </c>
      <c r="AA60" s="37">
        <f t="shared" si="9"/>
        <v>0</v>
      </c>
      <c r="AB60" s="64">
        <f t="shared" si="7"/>
        <v>0</v>
      </c>
    </row>
    <row r="61" spans="1:28">
      <c r="A61" s="231">
        <v>2011</v>
      </c>
      <c r="B61" s="4">
        <v>134099</v>
      </c>
      <c r="C61" s="4" t="s">
        <v>395</v>
      </c>
      <c r="D61" s="4" t="s">
        <v>396</v>
      </c>
      <c r="E61" s="4" t="s">
        <v>5</v>
      </c>
      <c r="F61" s="232" t="s">
        <v>229</v>
      </c>
      <c r="H61" s="244">
        <v>0</v>
      </c>
      <c r="I61" s="244"/>
      <c r="J61" s="244"/>
      <c r="K61" s="244">
        <v>19162.5</v>
      </c>
      <c r="L61" s="244"/>
      <c r="M61" s="244"/>
      <c r="N61" s="244">
        <v>0</v>
      </c>
      <c r="O61" s="244">
        <v>0</v>
      </c>
      <c r="P61" s="213">
        <v>0</v>
      </c>
      <c r="Q61" s="229">
        <f t="shared" si="6"/>
        <v>19162.5</v>
      </c>
      <c r="S61" s="37">
        <f t="shared" si="9"/>
        <v>0</v>
      </c>
      <c r="T61" s="37">
        <f t="shared" si="9"/>
        <v>0</v>
      </c>
      <c r="U61" s="37">
        <f t="shared" si="9"/>
        <v>0</v>
      </c>
      <c r="V61" s="37">
        <f t="shared" si="9"/>
        <v>0</v>
      </c>
      <c r="W61" s="37">
        <f t="shared" si="9"/>
        <v>0</v>
      </c>
      <c r="X61" s="37">
        <f t="shared" si="9"/>
        <v>0</v>
      </c>
      <c r="Y61" s="37">
        <f t="shared" si="9"/>
        <v>0</v>
      </c>
      <c r="Z61" s="37">
        <f t="shared" si="9"/>
        <v>0</v>
      </c>
      <c r="AA61" s="37">
        <f t="shared" si="9"/>
        <v>0</v>
      </c>
      <c r="AB61" s="64">
        <f t="shared" si="7"/>
        <v>0</v>
      </c>
    </row>
    <row r="62" spans="1:28">
      <c r="A62" s="231">
        <v>4193</v>
      </c>
      <c r="B62" s="4">
        <v>103501</v>
      </c>
      <c r="C62" s="4" t="s">
        <v>398</v>
      </c>
      <c r="D62" s="4" t="s">
        <v>399</v>
      </c>
      <c r="E62" s="4" t="s">
        <v>6</v>
      </c>
      <c r="F62" s="232" t="s">
        <v>229</v>
      </c>
      <c r="H62" s="244">
        <v>0</v>
      </c>
      <c r="I62" s="244"/>
      <c r="J62" s="244"/>
      <c r="K62" s="244">
        <v>60861</v>
      </c>
      <c r="L62" s="244"/>
      <c r="M62" s="244"/>
      <c r="N62" s="244">
        <v>0</v>
      </c>
      <c r="O62" s="244">
        <v>14698.920833333335</v>
      </c>
      <c r="P62" s="213">
        <v>0</v>
      </c>
      <c r="Q62" s="229">
        <f t="shared" si="6"/>
        <v>75559.920833333337</v>
      </c>
      <c r="S62" s="37">
        <f t="shared" si="9"/>
        <v>14698.920833333335</v>
      </c>
      <c r="T62" s="37">
        <f t="shared" si="9"/>
        <v>0</v>
      </c>
      <c r="U62" s="37">
        <f t="shared" si="9"/>
        <v>0</v>
      </c>
      <c r="V62" s="37">
        <f t="shared" si="9"/>
        <v>0</v>
      </c>
      <c r="W62" s="37">
        <f t="shared" si="9"/>
        <v>0</v>
      </c>
      <c r="X62" s="37">
        <f t="shared" si="9"/>
        <v>0</v>
      </c>
      <c r="Y62" s="37">
        <f t="shared" si="9"/>
        <v>0</v>
      </c>
      <c r="Z62" s="37">
        <f t="shared" si="9"/>
        <v>0</v>
      </c>
      <c r="AA62" s="37">
        <f t="shared" si="9"/>
        <v>0</v>
      </c>
      <c r="AB62" s="64">
        <f t="shared" si="7"/>
        <v>0</v>
      </c>
    </row>
    <row r="63" spans="1:28">
      <c r="A63" s="231">
        <v>2293</v>
      </c>
      <c r="B63" s="4">
        <v>103317</v>
      </c>
      <c r="C63" s="4" t="s">
        <v>401</v>
      </c>
      <c r="D63" s="4" t="s">
        <v>402</v>
      </c>
      <c r="E63" s="4" t="s">
        <v>5</v>
      </c>
      <c r="F63" s="232" t="s">
        <v>229</v>
      </c>
      <c r="H63" s="244">
        <v>0</v>
      </c>
      <c r="I63" s="244"/>
      <c r="J63" s="244"/>
      <c r="K63" s="244">
        <v>6175.75</v>
      </c>
      <c r="L63" s="244"/>
      <c r="M63" s="244"/>
      <c r="N63" s="244">
        <v>0</v>
      </c>
      <c r="O63" s="244">
        <v>0</v>
      </c>
      <c r="P63" s="213">
        <v>0</v>
      </c>
      <c r="Q63" s="229">
        <f t="shared" si="6"/>
        <v>6175.75</v>
      </c>
      <c r="S63" s="37">
        <f t="shared" si="9"/>
        <v>0</v>
      </c>
      <c r="T63" s="37">
        <f t="shared" si="9"/>
        <v>0</v>
      </c>
      <c r="U63" s="37">
        <f t="shared" si="9"/>
        <v>0</v>
      </c>
      <c r="V63" s="37">
        <f t="shared" si="9"/>
        <v>0</v>
      </c>
      <c r="W63" s="37">
        <f t="shared" si="9"/>
        <v>0</v>
      </c>
      <c r="X63" s="37">
        <f t="shared" si="9"/>
        <v>0</v>
      </c>
      <c r="Y63" s="37">
        <f t="shared" si="9"/>
        <v>0</v>
      </c>
      <c r="Z63" s="37">
        <f t="shared" si="9"/>
        <v>0</v>
      </c>
      <c r="AA63" s="37">
        <f t="shared" si="9"/>
        <v>0</v>
      </c>
      <c r="AB63" s="64">
        <f t="shared" si="7"/>
        <v>0</v>
      </c>
    </row>
    <row r="64" spans="1:28">
      <c r="A64" s="231">
        <v>2225</v>
      </c>
      <c r="B64" s="4">
        <v>103279</v>
      </c>
      <c r="C64" s="4" t="s">
        <v>404</v>
      </c>
      <c r="D64" s="4" t="s">
        <v>405</v>
      </c>
      <c r="E64" s="4" t="s">
        <v>5</v>
      </c>
      <c r="F64" s="232" t="s">
        <v>229</v>
      </c>
      <c r="H64" s="244">
        <v>0</v>
      </c>
      <c r="I64" s="244"/>
      <c r="J64" s="244"/>
      <c r="K64" s="244">
        <v>21190.75</v>
      </c>
      <c r="L64" s="244"/>
      <c r="M64" s="244"/>
      <c r="N64" s="244">
        <v>0</v>
      </c>
      <c r="O64" s="244">
        <v>0</v>
      </c>
      <c r="P64" s="213">
        <v>0</v>
      </c>
      <c r="Q64" s="229">
        <f t="shared" si="6"/>
        <v>21190.75</v>
      </c>
      <c r="S64" s="37">
        <f t="shared" si="9"/>
        <v>0</v>
      </c>
      <c r="T64" s="37">
        <f t="shared" si="9"/>
        <v>0</v>
      </c>
      <c r="U64" s="37">
        <f t="shared" si="9"/>
        <v>0</v>
      </c>
      <c r="V64" s="37">
        <f t="shared" si="9"/>
        <v>0</v>
      </c>
      <c r="W64" s="37">
        <f t="shared" si="9"/>
        <v>0</v>
      </c>
      <c r="X64" s="37">
        <f t="shared" si="9"/>
        <v>0</v>
      </c>
      <c r="Y64" s="37">
        <f t="shared" si="9"/>
        <v>0</v>
      </c>
      <c r="Z64" s="37">
        <f t="shared" si="9"/>
        <v>0</v>
      </c>
      <c r="AA64" s="37">
        <f t="shared" si="9"/>
        <v>0</v>
      </c>
      <c r="AB64" s="64">
        <f t="shared" si="7"/>
        <v>0</v>
      </c>
    </row>
    <row r="65" spans="1:28">
      <c r="A65" s="231">
        <v>2412</v>
      </c>
      <c r="B65" s="4">
        <v>103349</v>
      </c>
      <c r="C65" s="4" t="s">
        <v>407</v>
      </c>
      <c r="D65" s="4" t="s">
        <v>408</v>
      </c>
      <c r="E65" s="4" t="s">
        <v>5</v>
      </c>
      <c r="F65" s="232" t="s">
        <v>229</v>
      </c>
      <c r="H65" s="244">
        <v>0</v>
      </c>
      <c r="I65" s="244"/>
      <c r="J65" s="244"/>
      <c r="K65" s="244">
        <v>18246.669999999998</v>
      </c>
      <c r="L65" s="244"/>
      <c r="M65" s="244"/>
      <c r="N65" s="244">
        <v>0</v>
      </c>
      <c r="O65" s="244">
        <v>0</v>
      </c>
      <c r="P65" s="213">
        <v>0</v>
      </c>
      <c r="Q65" s="229">
        <f t="shared" si="6"/>
        <v>18246.669999999998</v>
      </c>
      <c r="S65" s="37">
        <f t="shared" si="9"/>
        <v>0</v>
      </c>
      <c r="T65" s="37">
        <f t="shared" si="9"/>
        <v>0</v>
      </c>
      <c r="U65" s="37">
        <f t="shared" si="9"/>
        <v>0</v>
      </c>
      <c r="V65" s="37">
        <f t="shared" si="9"/>
        <v>0</v>
      </c>
      <c r="W65" s="37">
        <f t="shared" si="9"/>
        <v>0</v>
      </c>
      <c r="X65" s="37">
        <f t="shared" si="9"/>
        <v>0</v>
      </c>
      <c r="Y65" s="37">
        <f t="shared" si="9"/>
        <v>0</v>
      </c>
      <c r="Z65" s="37">
        <f t="shared" si="9"/>
        <v>0</v>
      </c>
      <c r="AA65" s="37">
        <f t="shared" si="9"/>
        <v>0</v>
      </c>
      <c r="AB65" s="64">
        <f t="shared" si="7"/>
        <v>0</v>
      </c>
    </row>
    <row r="66" spans="1:28">
      <c r="A66" s="231">
        <v>2478</v>
      </c>
      <c r="B66" s="4">
        <v>132007</v>
      </c>
      <c r="C66" s="4" t="s">
        <v>565</v>
      </c>
      <c r="D66" s="4" t="s">
        <v>566</v>
      </c>
      <c r="E66" s="4" t="s">
        <v>5</v>
      </c>
      <c r="F66" s="232" t="s">
        <v>229</v>
      </c>
      <c r="H66" s="244">
        <v>0</v>
      </c>
      <c r="I66" s="244"/>
      <c r="J66" s="244"/>
      <c r="K66" s="244">
        <v>11165</v>
      </c>
      <c r="L66" s="244"/>
      <c r="M66" s="244"/>
      <c r="N66" s="244">
        <v>0</v>
      </c>
      <c r="O66" s="244">
        <v>0</v>
      </c>
      <c r="P66" s="213">
        <v>0</v>
      </c>
      <c r="Q66" s="229">
        <f t="shared" si="6"/>
        <v>11165</v>
      </c>
      <c r="S66" s="37">
        <f t="shared" si="9"/>
        <v>0</v>
      </c>
      <c r="T66" s="37">
        <f t="shared" si="9"/>
        <v>0</v>
      </c>
      <c r="U66" s="37">
        <f t="shared" si="9"/>
        <v>0</v>
      </c>
      <c r="V66" s="37">
        <f t="shared" si="9"/>
        <v>0</v>
      </c>
      <c r="W66" s="37">
        <f t="shared" si="9"/>
        <v>0</v>
      </c>
      <c r="X66" s="37">
        <f t="shared" si="9"/>
        <v>0</v>
      </c>
      <c r="Y66" s="37">
        <f t="shared" si="9"/>
        <v>0</v>
      </c>
      <c r="Z66" s="37">
        <f t="shared" si="9"/>
        <v>0</v>
      </c>
      <c r="AA66" s="37">
        <f t="shared" si="9"/>
        <v>0</v>
      </c>
      <c r="AB66" s="64">
        <f t="shared" si="7"/>
        <v>0</v>
      </c>
    </row>
    <row r="67" spans="1:28">
      <c r="A67" s="231">
        <v>4063</v>
      </c>
      <c r="B67" s="4">
        <v>103486</v>
      </c>
      <c r="C67" s="4" t="s">
        <v>687</v>
      </c>
      <c r="D67" s="4" t="s">
        <v>688</v>
      </c>
      <c r="E67" s="4" t="s">
        <v>6</v>
      </c>
      <c r="F67" s="232" t="s">
        <v>229</v>
      </c>
      <c r="H67" s="244">
        <v>0</v>
      </c>
      <c r="I67" s="244"/>
      <c r="J67" s="244"/>
      <c r="K67" s="244">
        <v>15960</v>
      </c>
      <c r="L67" s="244"/>
      <c r="M67" s="244"/>
      <c r="N67" s="244">
        <v>0</v>
      </c>
      <c r="O67" s="244">
        <v>41156.97833333334</v>
      </c>
      <c r="P67" s="213">
        <v>0</v>
      </c>
      <c r="Q67" s="229">
        <f t="shared" si="6"/>
        <v>57116.97833333334</v>
      </c>
      <c r="S67" s="37">
        <f t="shared" si="9"/>
        <v>41156.97833333334</v>
      </c>
      <c r="T67" s="37">
        <f t="shared" si="9"/>
        <v>0</v>
      </c>
      <c r="U67" s="37">
        <f t="shared" si="9"/>
        <v>0</v>
      </c>
      <c r="V67" s="37">
        <f t="shared" si="9"/>
        <v>0</v>
      </c>
      <c r="W67" s="37">
        <f t="shared" si="9"/>
        <v>0</v>
      </c>
      <c r="X67" s="37">
        <f t="shared" si="9"/>
        <v>0</v>
      </c>
      <c r="Y67" s="37">
        <f t="shared" si="9"/>
        <v>0</v>
      </c>
      <c r="Z67" s="37">
        <f t="shared" si="9"/>
        <v>0</v>
      </c>
      <c r="AA67" s="37">
        <f t="shared" si="9"/>
        <v>0</v>
      </c>
      <c r="AB67" s="64">
        <f t="shared" si="7"/>
        <v>0</v>
      </c>
    </row>
    <row r="68" spans="1:28">
      <c r="A68" s="231">
        <v>3375</v>
      </c>
      <c r="B68" s="4">
        <v>103462</v>
      </c>
      <c r="C68" s="4" t="s">
        <v>783</v>
      </c>
      <c r="D68" s="4" t="s">
        <v>784</v>
      </c>
      <c r="E68" s="4" t="s">
        <v>5</v>
      </c>
      <c r="F68" s="232" t="s">
        <v>229</v>
      </c>
      <c r="H68" s="244">
        <v>0</v>
      </c>
      <c r="I68" s="244"/>
      <c r="J68" s="244"/>
      <c r="K68" s="244">
        <v>35437.5</v>
      </c>
      <c r="L68" s="244"/>
      <c r="M68" s="244"/>
      <c r="N68" s="244">
        <v>0</v>
      </c>
      <c r="O68" s="244">
        <v>0</v>
      </c>
      <c r="P68" s="213">
        <v>0</v>
      </c>
      <c r="Q68" s="229">
        <f t="shared" si="6"/>
        <v>35437.5</v>
      </c>
      <c r="S68" s="37">
        <f t="shared" si="9"/>
        <v>0</v>
      </c>
      <c r="T68" s="37">
        <f t="shared" si="9"/>
        <v>0</v>
      </c>
      <c r="U68" s="37">
        <f t="shared" si="9"/>
        <v>0</v>
      </c>
      <c r="V68" s="37">
        <f t="shared" si="9"/>
        <v>0</v>
      </c>
      <c r="W68" s="37">
        <f t="shared" si="9"/>
        <v>0</v>
      </c>
      <c r="X68" s="37">
        <f t="shared" si="9"/>
        <v>0</v>
      </c>
      <c r="Y68" s="37">
        <f t="shared" si="9"/>
        <v>0</v>
      </c>
      <c r="Z68" s="37">
        <f t="shared" si="9"/>
        <v>0</v>
      </c>
      <c r="AA68" s="37">
        <f t="shared" si="9"/>
        <v>0</v>
      </c>
      <c r="AB68" s="64">
        <f t="shared" si="7"/>
        <v>0</v>
      </c>
    </row>
    <row r="69" spans="1:28">
      <c r="A69" s="231">
        <v>2010</v>
      </c>
      <c r="B69" s="4">
        <v>103159</v>
      </c>
      <c r="C69" s="4" t="s">
        <v>228</v>
      </c>
      <c r="D69" s="4" t="s">
        <v>230</v>
      </c>
      <c r="E69" s="4" t="s">
        <v>5</v>
      </c>
      <c r="F69" s="232" t="s">
        <v>229</v>
      </c>
      <c r="H69" s="244">
        <v>0</v>
      </c>
      <c r="I69" s="244"/>
      <c r="J69" s="244"/>
      <c r="K69" s="244">
        <v>6825</v>
      </c>
      <c r="L69" s="244"/>
      <c r="M69" s="244"/>
      <c r="N69" s="244">
        <v>0</v>
      </c>
      <c r="O69" s="244">
        <v>0</v>
      </c>
      <c r="P69" s="213">
        <v>0</v>
      </c>
      <c r="Q69" s="229">
        <f t="shared" si="6"/>
        <v>6825</v>
      </c>
      <c r="S69" s="37">
        <f t="shared" si="9"/>
        <v>0</v>
      </c>
      <c r="T69" s="37">
        <f t="shared" si="9"/>
        <v>0</v>
      </c>
      <c r="U69" s="37">
        <f t="shared" si="9"/>
        <v>0</v>
      </c>
      <c r="V69" s="37">
        <f t="shared" si="9"/>
        <v>0</v>
      </c>
      <c r="W69" s="37">
        <f t="shared" si="9"/>
        <v>0</v>
      </c>
      <c r="X69" s="37">
        <f t="shared" si="9"/>
        <v>0</v>
      </c>
      <c r="Y69" s="37">
        <f t="shared" si="9"/>
        <v>0</v>
      </c>
      <c r="Z69" s="37">
        <f t="shared" si="9"/>
        <v>0</v>
      </c>
      <c r="AA69" s="37">
        <f t="shared" si="9"/>
        <v>0</v>
      </c>
      <c r="AB69" s="64">
        <f t="shared" si="7"/>
        <v>0</v>
      </c>
    </row>
    <row r="70" spans="1:28" s="218" customFormat="1" ht="15" thickBot="1">
      <c r="A70" s="233"/>
      <c r="B70" s="214"/>
      <c r="C70" s="214"/>
      <c r="D70" s="226" t="s">
        <v>1096</v>
      </c>
      <c r="E70" s="214"/>
      <c r="F70" s="234"/>
      <c r="G70"/>
      <c r="H70" s="258">
        <f t="shared" ref="H70:Q70" si="10">SUM(H7:H69)</f>
        <v>451444.13</v>
      </c>
      <c r="I70" s="258"/>
      <c r="J70" s="258"/>
      <c r="K70" s="258">
        <f t="shared" si="10"/>
        <v>1535430.12</v>
      </c>
      <c r="L70" s="258"/>
      <c r="M70" s="258"/>
      <c r="N70" s="258">
        <f t="shared" si="10"/>
        <v>209984.58333333334</v>
      </c>
      <c r="O70" s="258">
        <f t="shared" si="10"/>
        <v>173447.26583333334</v>
      </c>
      <c r="P70" s="258">
        <f t="shared" si="10"/>
        <v>214470</v>
      </c>
      <c r="Q70" s="258">
        <f t="shared" si="10"/>
        <v>2584776.0991666671</v>
      </c>
      <c r="S70" s="257">
        <f>SUM(S7:S69)</f>
        <v>597901.84916666662</v>
      </c>
      <c r="T70" s="257">
        <f t="shared" ref="T70:AB70" si="11">SUM(T7:T69)</f>
        <v>0</v>
      </c>
      <c r="U70" s="257">
        <f t="shared" si="11"/>
        <v>0</v>
      </c>
      <c r="V70" s="257">
        <f t="shared" si="11"/>
        <v>0</v>
      </c>
      <c r="W70" s="257">
        <f t="shared" si="11"/>
        <v>0</v>
      </c>
      <c r="X70" s="257">
        <f t="shared" si="11"/>
        <v>0</v>
      </c>
      <c r="Y70" s="257">
        <f t="shared" si="11"/>
        <v>0</v>
      </c>
      <c r="Z70" s="257">
        <f t="shared" si="11"/>
        <v>0</v>
      </c>
      <c r="AA70" s="257">
        <f t="shared" si="11"/>
        <v>0</v>
      </c>
      <c r="AB70" s="257">
        <f t="shared" si="11"/>
        <v>0</v>
      </c>
    </row>
    <row r="71" spans="1:28" ht="15" thickTop="1">
      <c r="A71" s="231"/>
      <c r="B71" s="4"/>
      <c r="C71" s="4"/>
      <c r="D71" s="4"/>
      <c r="E71" s="4"/>
      <c r="F71" s="232"/>
      <c r="H71" s="244"/>
      <c r="I71" s="244"/>
      <c r="J71" s="244"/>
      <c r="K71" s="244"/>
      <c r="L71" s="244"/>
      <c r="M71" s="244"/>
      <c r="N71" s="244"/>
      <c r="O71" s="244"/>
      <c r="P71" s="244"/>
      <c r="Q71" s="245"/>
      <c r="S71" s="37"/>
      <c r="T71" s="37"/>
      <c r="U71" s="37"/>
      <c r="V71" s="37"/>
      <c r="W71" s="37"/>
      <c r="X71" s="37"/>
      <c r="Y71" s="37"/>
      <c r="Z71" s="37"/>
      <c r="AA71" s="37"/>
      <c r="AB71" s="64"/>
    </row>
    <row r="72" spans="1:28">
      <c r="A72" s="231">
        <v>1021</v>
      </c>
      <c r="B72" s="4">
        <v>103134</v>
      </c>
      <c r="C72" s="4" t="s">
        <v>670</v>
      </c>
      <c r="D72" s="4" t="s">
        <v>671</v>
      </c>
      <c r="E72" s="4" t="s">
        <v>180</v>
      </c>
      <c r="F72" s="232" t="s">
        <v>411</v>
      </c>
      <c r="H72" s="212">
        <v>0</v>
      </c>
      <c r="I72" s="212"/>
      <c r="J72" s="212"/>
      <c r="K72" s="212">
        <v>12212.5</v>
      </c>
      <c r="L72" s="212"/>
      <c r="M72" s="212"/>
      <c r="N72" s="212">
        <v>0</v>
      </c>
      <c r="O72" s="212">
        <v>0</v>
      </c>
      <c r="P72" s="212">
        <v>0</v>
      </c>
      <c r="Q72" s="229">
        <f t="shared" ref="Q72:Q103" si="12">SUM(H72:P72)</f>
        <v>12212.5</v>
      </c>
      <c r="S72" s="37">
        <f t="shared" ref="S72:AA81" si="13">SUMIF($H$3:$P$3,S$6,$H72:$P72)</f>
        <v>0</v>
      </c>
      <c r="T72" s="37">
        <f t="shared" si="13"/>
        <v>0</v>
      </c>
      <c r="U72" s="37">
        <f t="shared" si="13"/>
        <v>0</v>
      </c>
      <c r="V72" s="37">
        <f t="shared" si="13"/>
        <v>0</v>
      </c>
      <c r="W72" s="37">
        <f t="shared" si="13"/>
        <v>0</v>
      </c>
      <c r="X72" s="37">
        <f t="shared" si="13"/>
        <v>0</v>
      </c>
      <c r="Y72" s="37">
        <f t="shared" si="13"/>
        <v>0</v>
      </c>
      <c r="Z72" s="37">
        <f t="shared" si="13"/>
        <v>0</v>
      </c>
      <c r="AA72" s="37">
        <f t="shared" si="13"/>
        <v>0</v>
      </c>
      <c r="AB72" s="64">
        <f t="shared" ref="AB72:AB103" si="14">SUM(H72:P72)-Q72</f>
        <v>0</v>
      </c>
    </row>
    <row r="73" spans="1:28">
      <c r="A73" s="231">
        <v>1027</v>
      </c>
      <c r="B73" s="4">
        <v>103140</v>
      </c>
      <c r="C73" s="4" t="s">
        <v>410</v>
      </c>
      <c r="D73" s="4" t="s">
        <v>412</v>
      </c>
      <c r="E73" s="4" t="s">
        <v>180</v>
      </c>
      <c r="F73" s="232" t="s">
        <v>411</v>
      </c>
      <c r="H73" s="212">
        <v>0</v>
      </c>
      <c r="I73" s="212"/>
      <c r="J73" s="212"/>
      <c r="K73" s="212">
        <v>15625</v>
      </c>
      <c r="L73" s="212"/>
      <c r="M73" s="212"/>
      <c r="N73" s="212">
        <v>0</v>
      </c>
      <c r="O73" s="212">
        <v>0</v>
      </c>
      <c r="P73" s="212">
        <v>0</v>
      </c>
      <c r="Q73" s="229">
        <f t="shared" si="12"/>
        <v>15625</v>
      </c>
      <c r="S73" s="37">
        <f t="shared" si="13"/>
        <v>0</v>
      </c>
      <c r="T73" s="37">
        <f t="shared" si="13"/>
        <v>0</v>
      </c>
      <c r="U73" s="37">
        <f t="shared" si="13"/>
        <v>0</v>
      </c>
      <c r="V73" s="37">
        <f t="shared" si="13"/>
        <v>0</v>
      </c>
      <c r="W73" s="37">
        <f t="shared" si="13"/>
        <v>0</v>
      </c>
      <c r="X73" s="37">
        <f t="shared" si="13"/>
        <v>0</v>
      </c>
      <c r="Y73" s="37">
        <f t="shared" si="13"/>
        <v>0</v>
      </c>
      <c r="Z73" s="37">
        <f t="shared" si="13"/>
        <v>0</v>
      </c>
      <c r="AA73" s="37">
        <f t="shared" si="13"/>
        <v>0</v>
      </c>
      <c r="AB73" s="64">
        <f t="shared" si="14"/>
        <v>0</v>
      </c>
    </row>
    <row r="74" spans="1:28">
      <c r="A74" s="231">
        <v>1802</v>
      </c>
      <c r="B74" s="4">
        <v>103150</v>
      </c>
      <c r="C74" s="4" t="s">
        <v>451</v>
      </c>
      <c r="D74" s="4" t="s">
        <v>452</v>
      </c>
      <c r="E74" s="4" t="s">
        <v>180</v>
      </c>
      <c r="F74" s="232" t="s">
        <v>411</v>
      </c>
      <c r="H74" s="212">
        <v>0</v>
      </c>
      <c r="I74" s="212"/>
      <c r="J74" s="212"/>
      <c r="K74" s="212">
        <v>16560</v>
      </c>
      <c r="L74" s="212"/>
      <c r="M74" s="212"/>
      <c r="N74" s="212">
        <v>0</v>
      </c>
      <c r="O74" s="212">
        <v>0</v>
      </c>
      <c r="P74" s="212">
        <v>0</v>
      </c>
      <c r="Q74" s="229">
        <f t="shared" si="12"/>
        <v>16560</v>
      </c>
      <c r="S74" s="37">
        <f t="shared" si="13"/>
        <v>0</v>
      </c>
      <c r="T74" s="37">
        <f t="shared" si="13"/>
        <v>0</v>
      </c>
      <c r="U74" s="37">
        <f t="shared" si="13"/>
        <v>0</v>
      </c>
      <c r="V74" s="37">
        <f t="shared" si="13"/>
        <v>0</v>
      </c>
      <c r="W74" s="37">
        <f t="shared" si="13"/>
        <v>0</v>
      </c>
      <c r="X74" s="37">
        <f t="shared" si="13"/>
        <v>0</v>
      </c>
      <c r="Y74" s="37">
        <f t="shared" si="13"/>
        <v>0</v>
      </c>
      <c r="Z74" s="37">
        <f t="shared" si="13"/>
        <v>0</v>
      </c>
      <c r="AA74" s="37">
        <f t="shared" si="13"/>
        <v>0</v>
      </c>
      <c r="AB74" s="64">
        <f t="shared" si="14"/>
        <v>0</v>
      </c>
    </row>
    <row r="75" spans="1:28">
      <c r="A75" s="231">
        <v>5949</v>
      </c>
      <c r="B75" s="4">
        <v>131465</v>
      </c>
      <c r="C75" s="4" t="s">
        <v>580</v>
      </c>
      <c r="D75" s="4" t="s">
        <v>581</v>
      </c>
      <c r="E75" s="4" t="s">
        <v>5</v>
      </c>
      <c r="F75" s="232" t="s">
        <v>411</v>
      </c>
      <c r="H75" s="212">
        <v>0</v>
      </c>
      <c r="I75" s="212"/>
      <c r="J75" s="212"/>
      <c r="K75" s="212">
        <v>52745</v>
      </c>
      <c r="L75" s="212"/>
      <c r="M75" s="212"/>
      <c r="N75" s="212">
        <v>0</v>
      </c>
      <c r="O75" s="212">
        <v>0</v>
      </c>
      <c r="P75" s="212">
        <v>0</v>
      </c>
      <c r="Q75" s="229">
        <f t="shared" si="12"/>
        <v>52745</v>
      </c>
      <c r="S75" s="37">
        <f t="shared" si="13"/>
        <v>0</v>
      </c>
      <c r="T75" s="37">
        <f t="shared" si="13"/>
        <v>0</v>
      </c>
      <c r="U75" s="37">
        <f t="shared" si="13"/>
        <v>0</v>
      </c>
      <c r="V75" s="37">
        <f t="shared" si="13"/>
        <v>0</v>
      </c>
      <c r="W75" s="37">
        <f t="shared" si="13"/>
        <v>0</v>
      </c>
      <c r="X75" s="37">
        <f t="shared" si="13"/>
        <v>0</v>
      </c>
      <c r="Y75" s="37">
        <f t="shared" si="13"/>
        <v>0</v>
      </c>
      <c r="Z75" s="37">
        <f t="shared" si="13"/>
        <v>0</v>
      </c>
      <c r="AA75" s="37">
        <f t="shared" si="13"/>
        <v>0</v>
      </c>
      <c r="AB75" s="64">
        <f t="shared" si="14"/>
        <v>0</v>
      </c>
    </row>
    <row r="76" spans="1:28">
      <c r="A76" s="231">
        <v>2062</v>
      </c>
      <c r="B76" s="4">
        <v>103192</v>
      </c>
      <c r="C76" s="4" t="s">
        <v>583</v>
      </c>
      <c r="D76" s="4" t="s">
        <v>584</v>
      </c>
      <c r="E76" s="4" t="s">
        <v>5</v>
      </c>
      <c r="F76" s="232" t="s">
        <v>411</v>
      </c>
      <c r="H76" s="212">
        <v>0</v>
      </c>
      <c r="I76" s="212"/>
      <c r="J76" s="212"/>
      <c r="K76" s="212">
        <v>34200.83</v>
      </c>
      <c r="L76" s="212"/>
      <c r="M76" s="212"/>
      <c r="N76" s="212">
        <v>0</v>
      </c>
      <c r="O76" s="212">
        <v>0</v>
      </c>
      <c r="P76" s="212">
        <v>0</v>
      </c>
      <c r="Q76" s="229">
        <f t="shared" si="12"/>
        <v>34200.83</v>
      </c>
      <c r="S76" s="37">
        <f t="shared" si="13"/>
        <v>0</v>
      </c>
      <c r="T76" s="37">
        <f t="shared" si="13"/>
        <v>0</v>
      </c>
      <c r="U76" s="37">
        <f t="shared" si="13"/>
        <v>0</v>
      </c>
      <c r="V76" s="37">
        <f t="shared" si="13"/>
        <v>0</v>
      </c>
      <c r="W76" s="37">
        <f t="shared" si="13"/>
        <v>0</v>
      </c>
      <c r="X76" s="37">
        <f t="shared" si="13"/>
        <v>0</v>
      </c>
      <c r="Y76" s="37">
        <f t="shared" si="13"/>
        <v>0</v>
      </c>
      <c r="Z76" s="37">
        <f t="shared" si="13"/>
        <v>0</v>
      </c>
      <c r="AA76" s="37">
        <f t="shared" si="13"/>
        <v>0</v>
      </c>
      <c r="AB76" s="64">
        <f t="shared" si="14"/>
        <v>0</v>
      </c>
    </row>
    <row r="77" spans="1:28">
      <c r="A77" s="231">
        <v>2014</v>
      </c>
      <c r="B77" s="4">
        <v>103162</v>
      </c>
      <c r="C77" s="4" t="s">
        <v>586</v>
      </c>
      <c r="D77" s="4" t="s">
        <v>587</v>
      </c>
      <c r="E77" s="4" t="s">
        <v>5</v>
      </c>
      <c r="F77" s="232" t="s">
        <v>411</v>
      </c>
      <c r="H77" s="212">
        <v>0</v>
      </c>
      <c r="I77" s="212"/>
      <c r="J77" s="212"/>
      <c r="K77" s="212">
        <v>12950</v>
      </c>
      <c r="L77" s="212"/>
      <c r="M77" s="212"/>
      <c r="N77" s="212">
        <v>0</v>
      </c>
      <c r="O77" s="212">
        <v>0</v>
      </c>
      <c r="P77" s="212">
        <v>0</v>
      </c>
      <c r="Q77" s="229">
        <f t="shared" si="12"/>
        <v>12950</v>
      </c>
      <c r="S77" s="37">
        <f t="shared" si="13"/>
        <v>0</v>
      </c>
      <c r="T77" s="37">
        <f t="shared" si="13"/>
        <v>0</v>
      </c>
      <c r="U77" s="37">
        <f t="shared" si="13"/>
        <v>0</v>
      </c>
      <c r="V77" s="37">
        <f t="shared" si="13"/>
        <v>0</v>
      </c>
      <c r="W77" s="37">
        <f t="shared" si="13"/>
        <v>0</v>
      </c>
      <c r="X77" s="37">
        <f t="shared" si="13"/>
        <v>0</v>
      </c>
      <c r="Y77" s="37">
        <f t="shared" si="13"/>
        <v>0</v>
      </c>
      <c r="Z77" s="37">
        <f t="shared" si="13"/>
        <v>0</v>
      </c>
      <c r="AA77" s="37">
        <f t="shared" si="13"/>
        <v>0</v>
      </c>
      <c r="AB77" s="64">
        <f t="shared" si="14"/>
        <v>0</v>
      </c>
    </row>
    <row r="78" spans="1:28">
      <c r="A78" s="231">
        <v>7052</v>
      </c>
      <c r="B78" s="4">
        <v>103627</v>
      </c>
      <c r="C78" s="4" t="s">
        <v>589</v>
      </c>
      <c r="D78" s="4" t="s">
        <v>590</v>
      </c>
      <c r="E78" s="4" t="s">
        <v>1093</v>
      </c>
      <c r="F78" s="232" t="s">
        <v>411</v>
      </c>
      <c r="H78" s="212">
        <v>56700</v>
      </c>
      <c r="I78" s="212"/>
      <c r="J78" s="212"/>
      <c r="K78" s="212">
        <v>0</v>
      </c>
      <c r="L78" s="212"/>
      <c r="M78" s="212"/>
      <c r="N78" s="212">
        <v>0</v>
      </c>
      <c r="O78" s="212">
        <v>0</v>
      </c>
      <c r="P78" s="212">
        <v>0</v>
      </c>
      <c r="Q78" s="229">
        <f t="shared" si="12"/>
        <v>56700</v>
      </c>
      <c r="S78" s="37">
        <f t="shared" si="13"/>
        <v>0</v>
      </c>
      <c r="T78" s="37">
        <f t="shared" si="13"/>
        <v>0</v>
      </c>
      <c r="U78" s="37">
        <f t="shared" si="13"/>
        <v>0</v>
      </c>
      <c r="V78" s="37">
        <f t="shared" si="13"/>
        <v>0</v>
      </c>
      <c r="W78" s="37">
        <f t="shared" si="13"/>
        <v>0</v>
      </c>
      <c r="X78" s="37">
        <f t="shared" si="13"/>
        <v>0</v>
      </c>
      <c r="Y78" s="37">
        <f t="shared" si="13"/>
        <v>0</v>
      </c>
      <c r="Z78" s="37">
        <f t="shared" si="13"/>
        <v>0</v>
      </c>
      <c r="AA78" s="37">
        <f t="shared" si="13"/>
        <v>0</v>
      </c>
      <c r="AB78" s="64">
        <f t="shared" si="14"/>
        <v>0</v>
      </c>
    </row>
    <row r="79" spans="1:28">
      <c r="A79" s="231">
        <v>2017</v>
      </c>
      <c r="B79" s="4">
        <v>103164</v>
      </c>
      <c r="C79" s="4" t="s">
        <v>592</v>
      </c>
      <c r="D79" s="4" t="s">
        <v>593</v>
      </c>
      <c r="E79" s="4" t="s">
        <v>5</v>
      </c>
      <c r="F79" s="232" t="s">
        <v>411</v>
      </c>
      <c r="H79" s="212">
        <v>0</v>
      </c>
      <c r="I79" s="212"/>
      <c r="J79" s="212"/>
      <c r="K79" s="212">
        <v>41336.67</v>
      </c>
      <c r="L79" s="212"/>
      <c r="M79" s="212"/>
      <c r="N79" s="212">
        <v>0</v>
      </c>
      <c r="O79" s="212">
        <v>0</v>
      </c>
      <c r="P79" s="212">
        <v>0</v>
      </c>
      <c r="Q79" s="229">
        <f t="shared" si="12"/>
        <v>41336.67</v>
      </c>
      <c r="S79" s="37">
        <f t="shared" si="13"/>
        <v>0</v>
      </c>
      <c r="T79" s="37">
        <f t="shared" si="13"/>
        <v>0</v>
      </c>
      <c r="U79" s="37">
        <f t="shared" si="13"/>
        <v>0</v>
      </c>
      <c r="V79" s="37">
        <f t="shared" si="13"/>
        <v>0</v>
      </c>
      <c r="W79" s="37">
        <f t="shared" si="13"/>
        <v>0</v>
      </c>
      <c r="X79" s="37">
        <f t="shared" si="13"/>
        <v>0</v>
      </c>
      <c r="Y79" s="37">
        <f t="shared" si="13"/>
        <v>0</v>
      </c>
      <c r="Z79" s="37">
        <f t="shared" si="13"/>
        <v>0</v>
      </c>
      <c r="AA79" s="37">
        <f t="shared" si="13"/>
        <v>0</v>
      </c>
      <c r="AB79" s="64">
        <f t="shared" si="14"/>
        <v>0</v>
      </c>
    </row>
    <row r="80" spans="1:28">
      <c r="A80" s="231">
        <v>2016</v>
      </c>
      <c r="B80" s="4">
        <v>103163</v>
      </c>
      <c r="C80" s="4" t="s">
        <v>595</v>
      </c>
      <c r="D80" s="4" t="s">
        <v>596</v>
      </c>
      <c r="E80" s="4" t="s">
        <v>5</v>
      </c>
      <c r="F80" s="232" t="s">
        <v>411</v>
      </c>
      <c r="H80" s="212">
        <v>0</v>
      </c>
      <c r="I80" s="212"/>
      <c r="J80" s="212"/>
      <c r="K80" s="212">
        <v>26880</v>
      </c>
      <c r="L80" s="212"/>
      <c r="M80" s="212"/>
      <c r="N80" s="212">
        <v>0</v>
      </c>
      <c r="O80" s="212">
        <v>0</v>
      </c>
      <c r="P80" s="212">
        <v>0</v>
      </c>
      <c r="Q80" s="229">
        <f t="shared" si="12"/>
        <v>26880</v>
      </c>
      <c r="S80" s="37">
        <f t="shared" si="13"/>
        <v>0</v>
      </c>
      <c r="T80" s="37">
        <f t="shared" si="13"/>
        <v>0</v>
      </c>
      <c r="U80" s="37">
        <f t="shared" si="13"/>
        <v>0</v>
      </c>
      <c r="V80" s="37">
        <f t="shared" si="13"/>
        <v>0</v>
      </c>
      <c r="W80" s="37">
        <f t="shared" si="13"/>
        <v>0</v>
      </c>
      <c r="X80" s="37">
        <f t="shared" si="13"/>
        <v>0</v>
      </c>
      <c r="Y80" s="37">
        <f t="shared" si="13"/>
        <v>0</v>
      </c>
      <c r="Z80" s="37">
        <f t="shared" si="13"/>
        <v>0</v>
      </c>
      <c r="AA80" s="37">
        <f t="shared" si="13"/>
        <v>0</v>
      </c>
      <c r="AB80" s="64">
        <f t="shared" si="14"/>
        <v>0</v>
      </c>
    </row>
    <row r="81" spans="1:28">
      <c r="A81" s="231">
        <v>2241</v>
      </c>
      <c r="B81" s="4">
        <v>103291</v>
      </c>
      <c r="C81" s="4" t="s">
        <v>598</v>
      </c>
      <c r="D81" s="4" t="s">
        <v>599</v>
      </c>
      <c r="E81" s="4" t="s">
        <v>5</v>
      </c>
      <c r="F81" s="232" t="s">
        <v>411</v>
      </c>
      <c r="H81" s="212">
        <v>0</v>
      </c>
      <c r="I81" s="212"/>
      <c r="J81" s="212"/>
      <c r="K81" s="212">
        <v>23065</v>
      </c>
      <c r="L81" s="212"/>
      <c r="M81" s="212"/>
      <c r="N81" s="212">
        <v>0</v>
      </c>
      <c r="O81" s="212">
        <v>0</v>
      </c>
      <c r="P81" s="212">
        <v>0</v>
      </c>
      <c r="Q81" s="229">
        <f t="shared" si="12"/>
        <v>23065</v>
      </c>
      <c r="S81" s="37">
        <f t="shared" si="13"/>
        <v>0</v>
      </c>
      <c r="T81" s="37">
        <f t="shared" si="13"/>
        <v>0</v>
      </c>
      <c r="U81" s="37">
        <f t="shared" si="13"/>
        <v>0</v>
      </c>
      <c r="V81" s="37">
        <f t="shared" si="13"/>
        <v>0</v>
      </c>
      <c r="W81" s="37">
        <f t="shared" si="13"/>
        <v>0</v>
      </c>
      <c r="X81" s="37">
        <f t="shared" si="13"/>
        <v>0</v>
      </c>
      <c r="Y81" s="37">
        <f t="shared" si="13"/>
        <v>0</v>
      </c>
      <c r="Z81" s="37">
        <f t="shared" si="13"/>
        <v>0</v>
      </c>
      <c r="AA81" s="37">
        <f t="shared" si="13"/>
        <v>0</v>
      </c>
      <c r="AB81" s="64">
        <f t="shared" si="14"/>
        <v>0</v>
      </c>
    </row>
    <row r="82" spans="1:28">
      <c r="A82" s="231">
        <v>2456</v>
      </c>
      <c r="B82" s="4">
        <v>103383</v>
      </c>
      <c r="C82" s="4" t="s">
        <v>601</v>
      </c>
      <c r="D82" s="4" t="s">
        <v>602</v>
      </c>
      <c r="E82" s="4" t="s">
        <v>5</v>
      </c>
      <c r="F82" s="232" t="s">
        <v>411</v>
      </c>
      <c r="H82" s="212">
        <v>0</v>
      </c>
      <c r="I82" s="212"/>
      <c r="J82" s="212"/>
      <c r="K82" s="212">
        <v>36777.5</v>
      </c>
      <c r="L82" s="212"/>
      <c r="M82" s="212"/>
      <c r="N82" s="212">
        <v>0</v>
      </c>
      <c r="O82" s="212">
        <v>0</v>
      </c>
      <c r="P82" s="212">
        <v>0</v>
      </c>
      <c r="Q82" s="229">
        <f t="shared" si="12"/>
        <v>36777.5</v>
      </c>
      <c r="S82" s="37">
        <f t="shared" ref="S82:AA91" si="15">SUMIF($H$3:$P$3,S$6,$H82:$P82)</f>
        <v>0</v>
      </c>
      <c r="T82" s="37">
        <f t="shared" si="15"/>
        <v>0</v>
      </c>
      <c r="U82" s="37">
        <f t="shared" si="15"/>
        <v>0</v>
      </c>
      <c r="V82" s="37">
        <f t="shared" si="15"/>
        <v>0</v>
      </c>
      <c r="W82" s="37">
        <f t="shared" si="15"/>
        <v>0</v>
      </c>
      <c r="X82" s="37">
        <f t="shared" si="15"/>
        <v>0</v>
      </c>
      <c r="Y82" s="37">
        <f t="shared" si="15"/>
        <v>0</v>
      </c>
      <c r="Z82" s="37">
        <f t="shared" si="15"/>
        <v>0</v>
      </c>
      <c r="AA82" s="37">
        <f t="shared" si="15"/>
        <v>0</v>
      </c>
      <c r="AB82" s="64">
        <f t="shared" si="14"/>
        <v>0</v>
      </c>
    </row>
    <row r="83" spans="1:28">
      <c r="A83" s="231">
        <v>2254</v>
      </c>
      <c r="B83" s="4">
        <v>103300</v>
      </c>
      <c r="C83" s="4" t="s">
        <v>604</v>
      </c>
      <c r="D83" s="4" t="s">
        <v>605</v>
      </c>
      <c r="E83" s="4" t="s">
        <v>5</v>
      </c>
      <c r="F83" s="232" t="s">
        <v>411</v>
      </c>
      <c r="H83" s="212">
        <v>0</v>
      </c>
      <c r="I83" s="212"/>
      <c r="J83" s="212"/>
      <c r="K83" s="212">
        <v>20921.25</v>
      </c>
      <c r="L83" s="212"/>
      <c r="M83" s="212"/>
      <c r="N83" s="212">
        <v>0</v>
      </c>
      <c r="O83" s="212">
        <v>0</v>
      </c>
      <c r="P83" s="212">
        <v>0</v>
      </c>
      <c r="Q83" s="229">
        <f t="shared" si="12"/>
        <v>20921.25</v>
      </c>
      <c r="S83" s="37">
        <f t="shared" si="15"/>
        <v>0</v>
      </c>
      <c r="T83" s="37">
        <f t="shared" si="15"/>
        <v>0</v>
      </c>
      <c r="U83" s="37">
        <f t="shared" si="15"/>
        <v>0</v>
      </c>
      <c r="V83" s="37">
        <f t="shared" si="15"/>
        <v>0</v>
      </c>
      <c r="W83" s="37">
        <f t="shared" si="15"/>
        <v>0</v>
      </c>
      <c r="X83" s="37">
        <f t="shared" si="15"/>
        <v>0</v>
      </c>
      <c r="Y83" s="37">
        <f t="shared" si="15"/>
        <v>0</v>
      </c>
      <c r="Z83" s="37">
        <f t="shared" si="15"/>
        <v>0</v>
      </c>
      <c r="AA83" s="37">
        <f t="shared" si="15"/>
        <v>0</v>
      </c>
      <c r="AB83" s="64">
        <f t="shared" si="14"/>
        <v>0</v>
      </c>
    </row>
    <row r="84" spans="1:28">
      <c r="A84" s="231">
        <v>1025</v>
      </c>
      <c r="B84" s="4">
        <v>103138</v>
      </c>
      <c r="C84" s="4" t="s">
        <v>607</v>
      </c>
      <c r="D84" s="4" t="s">
        <v>608</v>
      </c>
      <c r="E84" s="4" t="s">
        <v>180</v>
      </c>
      <c r="F84" s="232" t="s">
        <v>411</v>
      </c>
      <c r="H84" s="212">
        <v>0</v>
      </c>
      <c r="I84" s="212"/>
      <c r="J84" s="212"/>
      <c r="K84" s="212">
        <v>11040</v>
      </c>
      <c r="L84" s="212"/>
      <c r="M84" s="212"/>
      <c r="N84" s="212">
        <v>0</v>
      </c>
      <c r="O84" s="212">
        <v>0</v>
      </c>
      <c r="P84" s="212">
        <v>0</v>
      </c>
      <c r="Q84" s="229">
        <f t="shared" si="12"/>
        <v>11040</v>
      </c>
      <c r="S84" s="37">
        <f t="shared" si="15"/>
        <v>0</v>
      </c>
      <c r="T84" s="37">
        <f t="shared" si="15"/>
        <v>0</v>
      </c>
      <c r="U84" s="37">
        <f t="shared" si="15"/>
        <v>0</v>
      </c>
      <c r="V84" s="37">
        <f t="shared" si="15"/>
        <v>0</v>
      </c>
      <c r="W84" s="37">
        <f t="shared" si="15"/>
        <v>0</v>
      </c>
      <c r="X84" s="37">
        <f t="shared" si="15"/>
        <v>0</v>
      </c>
      <c r="Y84" s="37">
        <f t="shared" si="15"/>
        <v>0</v>
      </c>
      <c r="Z84" s="37">
        <f t="shared" si="15"/>
        <v>0</v>
      </c>
      <c r="AA84" s="37">
        <f t="shared" si="15"/>
        <v>0</v>
      </c>
      <c r="AB84" s="64">
        <f t="shared" si="14"/>
        <v>0</v>
      </c>
    </row>
    <row r="85" spans="1:28">
      <c r="A85" s="231">
        <v>3353</v>
      </c>
      <c r="B85" s="4">
        <v>103445</v>
      </c>
      <c r="C85" s="4" t="s">
        <v>610</v>
      </c>
      <c r="D85" s="4" t="s">
        <v>611</v>
      </c>
      <c r="E85" s="4" t="s">
        <v>5</v>
      </c>
      <c r="F85" s="232" t="s">
        <v>411</v>
      </c>
      <c r="H85" s="212">
        <v>0</v>
      </c>
      <c r="I85" s="212"/>
      <c r="J85" s="212"/>
      <c r="K85" s="212">
        <v>14958.33</v>
      </c>
      <c r="L85" s="212"/>
      <c r="M85" s="212"/>
      <c r="N85" s="212">
        <v>0</v>
      </c>
      <c r="O85" s="212">
        <v>0</v>
      </c>
      <c r="P85" s="212">
        <v>0</v>
      </c>
      <c r="Q85" s="229">
        <f t="shared" si="12"/>
        <v>14958.33</v>
      </c>
      <c r="S85" s="37">
        <f t="shared" si="15"/>
        <v>0</v>
      </c>
      <c r="T85" s="37">
        <f t="shared" si="15"/>
        <v>0</v>
      </c>
      <c r="U85" s="37">
        <f t="shared" si="15"/>
        <v>0</v>
      </c>
      <c r="V85" s="37">
        <f t="shared" si="15"/>
        <v>0</v>
      </c>
      <c r="W85" s="37">
        <f t="shared" si="15"/>
        <v>0</v>
      </c>
      <c r="X85" s="37">
        <f t="shared" si="15"/>
        <v>0</v>
      </c>
      <c r="Y85" s="37">
        <f t="shared" si="15"/>
        <v>0</v>
      </c>
      <c r="Z85" s="37">
        <f t="shared" si="15"/>
        <v>0</v>
      </c>
      <c r="AA85" s="37">
        <f t="shared" si="15"/>
        <v>0</v>
      </c>
      <c r="AB85" s="64">
        <f t="shared" si="14"/>
        <v>0</v>
      </c>
    </row>
    <row r="86" spans="1:28">
      <c r="A86" s="231">
        <v>1002</v>
      </c>
      <c r="B86" s="4">
        <v>103121</v>
      </c>
      <c r="C86" s="4" t="s">
        <v>613</v>
      </c>
      <c r="D86" s="4" t="s">
        <v>614</v>
      </c>
      <c r="E86" s="4" t="s">
        <v>180</v>
      </c>
      <c r="F86" s="232" t="s">
        <v>411</v>
      </c>
      <c r="H86" s="212">
        <v>0</v>
      </c>
      <c r="I86" s="212"/>
      <c r="J86" s="212"/>
      <c r="K86" s="212">
        <v>11935</v>
      </c>
      <c r="L86" s="212"/>
      <c r="M86" s="212"/>
      <c r="N86" s="212">
        <v>0</v>
      </c>
      <c r="O86" s="212">
        <v>0</v>
      </c>
      <c r="P86" s="212">
        <v>0</v>
      </c>
      <c r="Q86" s="229">
        <f t="shared" si="12"/>
        <v>11935</v>
      </c>
      <c r="S86" s="37">
        <f t="shared" si="15"/>
        <v>0</v>
      </c>
      <c r="T86" s="37">
        <f t="shared" si="15"/>
        <v>0</v>
      </c>
      <c r="U86" s="37">
        <f t="shared" si="15"/>
        <v>0</v>
      </c>
      <c r="V86" s="37">
        <f t="shared" si="15"/>
        <v>0</v>
      </c>
      <c r="W86" s="37">
        <f t="shared" si="15"/>
        <v>0</v>
      </c>
      <c r="X86" s="37">
        <f t="shared" si="15"/>
        <v>0</v>
      </c>
      <c r="Y86" s="37">
        <f t="shared" si="15"/>
        <v>0</v>
      </c>
      <c r="Z86" s="37">
        <f t="shared" si="15"/>
        <v>0</v>
      </c>
      <c r="AA86" s="37">
        <f t="shared" si="15"/>
        <v>0</v>
      </c>
      <c r="AB86" s="64">
        <f t="shared" si="14"/>
        <v>0</v>
      </c>
    </row>
    <row r="87" spans="1:28">
      <c r="A87" s="231">
        <v>1048</v>
      </c>
      <c r="B87" s="4">
        <v>103144</v>
      </c>
      <c r="C87" s="4" t="s">
        <v>616</v>
      </c>
      <c r="D87" s="4" t="s">
        <v>617</v>
      </c>
      <c r="E87" s="4" t="s">
        <v>180</v>
      </c>
      <c r="F87" s="232" t="s">
        <v>411</v>
      </c>
      <c r="H87" s="212">
        <v>0</v>
      </c>
      <c r="I87" s="212"/>
      <c r="J87" s="212"/>
      <c r="K87" s="212">
        <v>86505.33</v>
      </c>
      <c r="L87" s="212"/>
      <c r="M87" s="212"/>
      <c r="N87" s="212">
        <v>0</v>
      </c>
      <c r="O87" s="212">
        <v>0</v>
      </c>
      <c r="P87" s="212">
        <v>0</v>
      </c>
      <c r="Q87" s="229">
        <f t="shared" si="12"/>
        <v>86505.33</v>
      </c>
      <c r="S87" s="37">
        <f t="shared" si="15"/>
        <v>0</v>
      </c>
      <c r="T87" s="37">
        <f t="shared" si="15"/>
        <v>0</v>
      </c>
      <c r="U87" s="37">
        <f t="shared" si="15"/>
        <v>0</v>
      </c>
      <c r="V87" s="37">
        <f t="shared" si="15"/>
        <v>0</v>
      </c>
      <c r="W87" s="37">
        <f t="shared" si="15"/>
        <v>0</v>
      </c>
      <c r="X87" s="37">
        <f t="shared" si="15"/>
        <v>0</v>
      </c>
      <c r="Y87" s="37">
        <f t="shared" si="15"/>
        <v>0</v>
      </c>
      <c r="Z87" s="37">
        <f t="shared" si="15"/>
        <v>0</v>
      </c>
      <c r="AA87" s="37">
        <f t="shared" si="15"/>
        <v>0</v>
      </c>
      <c r="AB87" s="64">
        <f t="shared" si="14"/>
        <v>0</v>
      </c>
    </row>
    <row r="88" spans="1:28">
      <c r="A88" s="231">
        <v>2289</v>
      </c>
      <c r="B88" s="4">
        <v>103315</v>
      </c>
      <c r="C88" s="4" t="s">
        <v>619</v>
      </c>
      <c r="D88" s="4" t="s">
        <v>620</v>
      </c>
      <c r="E88" s="4" t="s">
        <v>5</v>
      </c>
      <c r="F88" s="232" t="s">
        <v>411</v>
      </c>
      <c r="H88" s="212">
        <v>0</v>
      </c>
      <c r="I88" s="212"/>
      <c r="J88" s="212"/>
      <c r="K88" s="212">
        <v>27405</v>
      </c>
      <c r="L88" s="212"/>
      <c r="M88" s="212"/>
      <c r="N88" s="212">
        <v>0</v>
      </c>
      <c r="O88" s="212">
        <v>0</v>
      </c>
      <c r="P88" s="212">
        <v>0</v>
      </c>
      <c r="Q88" s="229">
        <f t="shared" si="12"/>
        <v>27405</v>
      </c>
      <c r="S88" s="37">
        <f t="shared" si="15"/>
        <v>0</v>
      </c>
      <c r="T88" s="37">
        <f t="shared" si="15"/>
        <v>0</v>
      </c>
      <c r="U88" s="37">
        <f t="shared" si="15"/>
        <v>0</v>
      </c>
      <c r="V88" s="37">
        <f t="shared" si="15"/>
        <v>0</v>
      </c>
      <c r="W88" s="37">
        <f t="shared" si="15"/>
        <v>0</v>
      </c>
      <c r="X88" s="37">
        <f t="shared" si="15"/>
        <v>0</v>
      </c>
      <c r="Y88" s="37">
        <f t="shared" si="15"/>
        <v>0</v>
      </c>
      <c r="Z88" s="37">
        <f t="shared" si="15"/>
        <v>0</v>
      </c>
      <c r="AA88" s="37">
        <f t="shared" si="15"/>
        <v>0</v>
      </c>
      <c r="AB88" s="64">
        <f t="shared" si="14"/>
        <v>0</v>
      </c>
    </row>
    <row r="89" spans="1:28">
      <c r="A89" s="231">
        <v>3320</v>
      </c>
      <c r="B89" s="4">
        <v>103424</v>
      </c>
      <c r="C89" s="4" t="s">
        <v>622</v>
      </c>
      <c r="D89" s="4" t="s">
        <v>623</v>
      </c>
      <c r="E89" s="4" t="s">
        <v>5</v>
      </c>
      <c r="F89" s="232" t="s">
        <v>411</v>
      </c>
      <c r="H89" s="212">
        <v>0</v>
      </c>
      <c r="I89" s="212"/>
      <c r="J89" s="212"/>
      <c r="K89" s="212">
        <v>16965</v>
      </c>
      <c r="L89" s="212"/>
      <c r="M89" s="212"/>
      <c r="N89" s="212">
        <v>0</v>
      </c>
      <c r="O89" s="212">
        <v>0</v>
      </c>
      <c r="P89" s="212">
        <v>0</v>
      </c>
      <c r="Q89" s="229">
        <f t="shared" si="12"/>
        <v>16965</v>
      </c>
      <c r="S89" s="37">
        <f t="shared" si="15"/>
        <v>0</v>
      </c>
      <c r="T89" s="37">
        <f t="shared" si="15"/>
        <v>0</v>
      </c>
      <c r="U89" s="37">
        <f t="shared" si="15"/>
        <v>0</v>
      </c>
      <c r="V89" s="37">
        <f t="shared" si="15"/>
        <v>0</v>
      </c>
      <c r="W89" s="37">
        <f t="shared" si="15"/>
        <v>0</v>
      </c>
      <c r="X89" s="37">
        <f t="shared" si="15"/>
        <v>0</v>
      </c>
      <c r="Y89" s="37">
        <f t="shared" si="15"/>
        <v>0</v>
      </c>
      <c r="Z89" s="37">
        <f t="shared" si="15"/>
        <v>0</v>
      </c>
      <c r="AA89" s="37">
        <f t="shared" si="15"/>
        <v>0</v>
      </c>
      <c r="AB89" s="64">
        <f t="shared" si="14"/>
        <v>0</v>
      </c>
    </row>
    <row r="90" spans="1:28">
      <c r="A90" s="231">
        <v>2191</v>
      </c>
      <c r="B90" s="4">
        <v>103267</v>
      </c>
      <c r="C90" s="4" t="s">
        <v>625</v>
      </c>
      <c r="D90" s="4" t="s">
        <v>626</v>
      </c>
      <c r="E90" s="4" t="s">
        <v>5</v>
      </c>
      <c r="F90" s="232" t="s">
        <v>411</v>
      </c>
      <c r="H90" s="212">
        <v>0</v>
      </c>
      <c r="I90" s="212"/>
      <c r="J90" s="212"/>
      <c r="K90" s="212">
        <v>19390</v>
      </c>
      <c r="L90" s="212"/>
      <c r="M90" s="212"/>
      <c r="N90" s="212">
        <v>0</v>
      </c>
      <c r="O90" s="212">
        <v>0</v>
      </c>
      <c r="P90" s="212">
        <v>0</v>
      </c>
      <c r="Q90" s="229">
        <f t="shared" si="12"/>
        <v>19390</v>
      </c>
      <c r="S90" s="37">
        <f t="shared" si="15"/>
        <v>0</v>
      </c>
      <c r="T90" s="37">
        <f t="shared" si="15"/>
        <v>0</v>
      </c>
      <c r="U90" s="37">
        <f t="shared" si="15"/>
        <v>0</v>
      </c>
      <c r="V90" s="37">
        <f t="shared" si="15"/>
        <v>0</v>
      </c>
      <c r="W90" s="37">
        <f t="shared" si="15"/>
        <v>0</v>
      </c>
      <c r="X90" s="37">
        <f t="shared" si="15"/>
        <v>0</v>
      </c>
      <c r="Y90" s="37">
        <f t="shared" si="15"/>
        <v>0</v>
      </c>
      <c r="Z90" s="37">
        <f t="shared" si="15"/>
        <v>0</v>
      </c>
      <c r="AA90" s="37">
        <f t="shared" si="15"/>
        <v>0</v>
      </c>
      <c r="AB90" s="64">
        <f t="shared" si="14"/>
        <v>0</v>
      </c>
    </row>
    <row r="91" spans="1:28">
      <c r="A91" s="231">
        <v>2284</v>
      </c>
      <c r="B91" s="4">
        <v>103313</v>
      </c>
      <c r="C91" s="4" t="s">
        <v>628</v>
      </c>
      <c r="D91" s="4" t="s">
        <v>629</v>
      </c>
      <c r="E91" s="4" t="s">
        <v>5</v>
      </c>
      <c r="F91" s="232" t="s">
        <v>411</v>
      </c>
      <c r="H91" s="212">
        <v>0</v>
      </c>
      <c r="I91" s="212"/>
      <c r="J91" s="212"/>
      <c r="K91" s="212">
        <v>5775</v>
      </c>
      <c r="L91" s="212"/>
      <c r="M91" s="212"/>
      <c r="N91" s="212">
        <v>0</v>
      </c>
      <c r="O91" s="212">
        <v>0</v>
      </c>
      <c r="P91" s="212">
        <v>0</v>
      </c>
      <c r="Q91" s="229">
        <f t="shared" si="12"/>
        <v>5775</v>
      </c>
      <c r="S91" s="37">
        <f t="shared" si="15"/>
        <v>0</v>
      </c>
      <c r="T91" s="37">
        <f t="shared" si="15"/>
        <v>0</v>
      </c>
      <c r="U91" s="37">
        <f t="shared" si="15"/>
        <v>0</v>
      </c>
      <c r="V91" s="37">
        <f t="shared" si="15"/>
        <v>0</v>
      </c>
      <c r="W91" s="37">
        <f t="shared" si="15"/>
        <v>0</v>
      </c>
      <c r="X91" s="37">
        <f t="shared" si="15"/>
        <v>0</v>
      </c>
      <c r="Y91" s="37">
        <f t="shared" si="15"/>
        <v>0</v>
      </c>
      <c r="Z91" s="37">
        <f t="shared" si="15"/>
        <v>0</v>
      </c>
      <c r="AA91" s="37">
        <f t="shared" si="15"/>
        <v>0</v>
      </c>
      <c r="AB91" s="64">
        <f t="shared" si="14"/>
        <v>0</v>
      </c>
    </row>
    <row r="92" spans="1:28">
      <c r="A92" s="231">
        <v>1026</v>
      </c>
      <c r="B92" s="4">
        <v>103139</v>
      </c>
      <c r="C92" s="4" t="s">
        <v>631</v>
      </c>
      <c r="D92" s="4" t="s">
        <v>632</v>
      </c>
      <c r="E92" s="4" t="s">
        <v>180</v>
      </c>
      <c r="F92" s="232" t="s">
        <v>411</v>
      </c>
      <c r="H92" s="212">
        <v>0</v>
      </c>
      <c r="I92" s="212"/>
      <c r="J92" s="212"/>
      <c r="K92" s="212">
        <v>17515</v>
      </c>
      <c r="L92" s="212"/>
      <c r="M92" s="212"/>
      <c r="N92" s="212">
        <v>0</v>
      </c>
      <c r="O92" s="212">
        <v>0</v>
      </c>
      <c r="P92" s="212">
        <v>0</v>
      </c>
      <c r="Q92" s="229">
        <f t="shared" si="12"/>
        <v>17515</v>
      </c>
      <c r="S92" s="37">
        <f t="shared" ref="S92:AA101" si="16">SUMIF($H$3:$P$3,S$6,$H92:$P92)</f>
        <v>0</v>
      </c>
      <c r="T92" s="37">
        <f t="shared" si="16"/>
        <v>0</v>
      </c>
      <c r="U92" s="37">
        <f t="shared" si="16"/>
        <v>0</v>
      </c>
      <c r="V92" s="37">
        <f t="shared" si="16"/>
        <v>0</v>
      </c>
      <c r="W92" s="37">
        <f t="shared" si="16"/>
        <v>0</v>
      </c>
      <c r="X92" s="37">
        <f t="shared" si="16"/>
        <v>0</v>
      </c>
      <c r="Y92" s="37">
        <f t="shared" si="16"/>
        <v>0</v>
      </c>
      <c r="Z92" s="37">
        <f t="shared" si="16"/>
        <v>0</v>
      </c>
      <c r="AA92" s="37">
        <f t="shared" si="16"/>
        <v>0</v>
      </c>
      <c r="AB92" s="64">
        <f t="shared" si="14"/>
        <v>0</v>
      </c>
    </row>
    <row r="93" spans="1:28">
      <c r="A93" s="231">
        <v>2294</v>
      </c>
      <c r="B93" s="4">
        <v>103318</v>
      </c>
      <c r="C93" s="4" t="s">
        <v>634</v>
      </c>
      <c r="D93" s="4" t="s">
        <v>635</v>
      </c>
      <c r="E93" s="4" t="s">
        <v>5</v>
      </c>
      <c r="F93" s="232" t="s">
        <v>411</v>
      </c>
      <c r="H93" s="212">
        <v>0</v>
      </c>
      <c r="I93" s="212"/>
      <c r="J93" s="212"/>
      <c r="K93" s="212">
        <v>53398.33</v>
      </c>
      <c r="L93" s="212"/>
      <c r="M93" s="212"/>
      <c r="N93" s="212">
        <v>0</v>
      </c>
      <c r="O93" s="212">
        <v>0</v>
      </c>
      <c r="P93" s="212">
        <v>0</v>
      </c>
      <c r="Q93" s="229">
        <f t="shared" si="12"/>
        <v>53398.33</v>
      </c>
      <c r="S93" s="37">
        <f t="shared" si="16"/>
        <v>0</v>
      </c>
      <c r="T93" s="37">
        <f t="shared" si="16"/>
        <v>0</v>
      </c>
      <c r="U93" s="37">
        <f t="shared" si="16"/>
        <v>0</v>
      </c>
      <c r="V93" s="37">
        <f t="shared" si="16"/>
        <v>0</v>
      </c>
      <c r="W93" s="37">
        <f t="shared" si="16"/>
        <v>0</v>
      </c>
      <c r="X93" s="37">
        <f t="shared" si="16"/>
        <v>0</v>
      </c>
      <c r="Y93" s="37">
        <f t="shared" si="16"/>
        <v>0</v>
      </c>
      <c r="Z93" s="37">
        <f t="shared" si="16"/>
        <v>0</v>
      </c>
      <c r="AA93" s="37">
        <f t="shared" si="16"/>
        <v>0</v>
      </c>
      <c r="AB93" s="64">
        <f t="shared" si="14"/>
        <v>0</v>
      </c>
    </row>
    <row r="94" spans="1:28">
      <c r="A94" s="231">
        <v>1006</v>
      </c>
      <c r="B94" s="4">
        <v>103122</v>
      </c>
      <c r="C94" s="4" t="s">
        <v>637</v>
      </c>
      <c r="D94" s="4" t="s">
        <v>638</v>
      </c>
      <c r="E94" s="4" t="s">
        <v>180</v>
      </c>
      <c r="F94" s="232" t="s">
        <v>411</v>
      </c>
      <c r="H94" s="212">
        <v>0</v>
      </c>
      <c r="I94" s="212"/>
      <c r="J94" s="212"/>
      <c r="K94" s="212">
        <v>50213.75</v>
      </c>
      <c r="L94" s="212"/>
      <c r="M94" s="212"/>
      <c r="N94" s="212">
        <v>0</v>
      </c>
      <c r="O94" s="212">
        <v>0</v>
      </c>
      <c r="P94" s="212">
        <v>0</v>
      </c>
      <c r="Q94" s="229">
        <f t="shared" si="12"/>
        <v>50213.75</v>
      </c>
      <c r="S94" s="37">
        <f t="shared" si="16"/>
        <v>0</v>
      </c>
      <c r="T94" s="37">
        <f t="shared" si="16"/>
        <v>0</v>
      </c>
      <c r="U94" s="37">
        <f t="shared" si="16"/>
        <v>0</v>
      </c>
      <c r="V94" s="37">
        <f t="shared" si="16"/>
        <v>0</v>
      </c>
      <c r="W94" s="37">
        <f t="shared" si="16"/>
        <v>0</v>
      </c>
      <c r="X94" s="37">
        <f t="shared" si="16"/>
        <v>0</v>
      </c>
      <c r="Y94" s="37">
        <f t="shared" si="16"/>
        <v>0</v>
      </c>
      <c r="Z94" s="37">
        <f t="shared" si="16"/>
        <v>0</v>
      </c>
      <c r="AA94" s="37">
        <f t="shared" si="16"/>
        <v>0</v>
      </c>
      <c r="AB94" s="64">
        <f t="shared" si="14"/>
        <v>0</v>
      </c>
    </row>
    <row r="95" spans="1:28">
      <c r="A95" s="231">
        <v>2079</v>
      </c>
      <c r="B95" s="4">
        <v>103200</v>
      </c>
      <c r="C95" s="4" t="s">
        <v>640</v>
      </c>
      <c r="D95" s="4" t="s">
        <v>641</v>
      </c>
      <c r="E95" s="4" t="s">
        <v>5</v>
      </c>
      <c r="F95" s="232" t="s">
        <v>411</v>
      </c>
      <c r="H95" s="212">
        <v>0</v>
      </c>
      <c r="I95" s="212"/>
      <c r="J95" s="212"/>
      <c r="K95" s="212">
        <v>28944.5</v>
      </c>
      <c r="L95" s="212"/>
      <c r="M95" s="212"/>
      <c r="N95" s="212">
        <v>0</v>
      </c>
      <c r="O95" s="212">
        <v>0</v>
      </c>
      <c r="P95" s="212">
        <v>0</v>
      </c>
      <c r="Q95" s="229">
        <f t="shared" si="12"/>
        <v>28944.5</v>
      </c>
      <c r="S95" s="37">
        <f t="shared" si="16"/>
        <v>0</v>
      </c>
      <c r="T95" s="37">
        <f t="shared" si="16"/>
        <v>0</v>
      </c>
      <c r="U95" s="37">
        <f t="shared" si="16"/>
        <v>0</v>
      </c>
      <c r="V95" s="37">
        <f t="shared" si="16"/>
        <v>0</v>
      </c>
      <c r="W95" s="37">
        <f t="shared" si="16"/>
        <v>0</v>
      </c>
      <c r="X95" s="37">
        <f t="shared" si="16"/>
        <v>0</v>
      </c>
      <c r="Y95" s="37">
        <f t="shared" si="16"/>
        <v>0</v>
      </c>
      <c r="Z95" s="37">
        <f t="shared" si="16"/>
        <v>0</v>
      </c>
      <c r="AA95" s="37">
        <f t="shared" si="16"/>
        <v>0</v>
      </c>
      <c r="AB95" s="64">
        <f t="shared" si="14"/>
        <v>0</v>
      </c>
    </row>
    <row r="96" spans="1:28">
      <c r="A96" s="231">
        <v>1015</v>
      </c>
      <c r="B96" s="4">
        <v>103128</v>
      </c>
      <c r="C96" s="4" t="s">
        <v>643</v>
      </c>
      <c r="D96" s="4" t="s">
        <v>644</v>
      </c>
      <c r="E96" s="4" t="s">
        <v>180</v>
      </c>
      <c r="F96" s="232" t="s">
        <v>411</v>
      </c>
      <c r="H96" s="212">
        <v>0</v>
      </c>
      <c r="I96" s="212"/>
      <c r="J96" s="212"/>
      <c r="K96" s="212">
        <v>21023.75</v>
      </c>
      <c r="L96" s="212"/>
      <c r="M96" s="212"/>
      <c r="N96" s="212">
        <v>0</v>
      </c>
      <c r="O96" s="212">
        <v>0</v>
      </c>
      <c r="P96" s="212">
        <v>0</v>
      </c>
      <c r="Q96" s="229">
        <f t="shared" si="12"/>
        <v>21023.75</v>
      </c>
      <c r="S96" s="37">
        <f t="shared" si="16"/>
        <v>0</v>
      </c>
      <c r="T96" s="37">
        <f t="shared" si="16"/>
        <v>0</v>
      </c>
      <c r="U96" s="37">
        <f t="shared" si="16"/>
        <v>0</v>
      </c>
      <c r="V96" s="37">
        <f t="shared" si="16"/>
        <v>0</v>
      </c>
      <c r="W96" s="37">
        <f t="shared" si="16"/>
        <v>0</v>
      </c>
      <c r="X96" s="37">
        <f t="shared" si="16"/>
        <v>0</v>
      </c>
      <c r="Y96" s="37">
        <f t="shared" si="16"/>
        <v>0</v>
      </c>
      <c r="Z96" s="37">
        <f t="shared" si="16"/>
        <v>0</v>
      </c>
      <c r="AA96" s="37">
        <f t="shared" si="16"/>
        <v>0</v>
      </c>
      <c r="AB96" s="64">
        <f t="shared" si="14"/>
        <v>0</v>
      </c>
    </row>
    <row r="97" spans="1:28">
      <c r="A97" s="231">
        <v>1022</v>
      </c>
      <c r="B97" s="4">
        <v>103135</v>
      </c>
      <c r="C97" s="4" t="s">
        <v>646</v>
      </c>
      <c r="D97" s="4" t="s">
        <v>647</v>
      </c>
      <c r="E97" s="4" t="s">
        <v>180</v>
      </c>
      <c r="F97" s="232" t="s">
        <v>411</v>
      </c>
      <c r="H97" s="212">
        <v>0</v>
      </c>
      <c r="I97" s="212"/>
      <c r="J97" s="212"/>
      <c r="K97" s="212">
        <v>24556.25</v>
      </c>
      <c r="L97" s="212"/>
      <c r="M97" s="212"/>
      <c r="N97" s="212">
        <v>0</v>
      </c>
      <c r="O97" s="212">
        <v>0</v>
      </c>
      <c r="P97" s="212">
        <v>0</v>
      </c>
      <c r="Q97" s="229">
        <f t="shared" si="12"/>
        <v>24556.25</v>
      </c>
      <c r="S97" s="37">
        <f t="shared" si="16"/>
        <v>0</v>
      </c>
      <c r="T97" s="37">
        <f t="shared" si="16"/>
        <v>0</v>
      </c>
      <c r="U97" s="37">
        <f t="shared" si="16"/>
        <v>0</v>
      </c>
      <c r="V97" s="37">
        <f t="shared" si="16"/>
        <v>0</v>
      </c>
      <c r="W97" s="37">
        <f t="shared" si="16"/>
        <v>0</v>
      </c>
      <c r="X97" s="37">
        <f t="shared" si="16"/>
        <v>0</v>
      </c>
      <c r="Y97" s="37">
        <f t="shared" si="16"/>
        <v>0</v>
      </c>
      <c r="Z97" s="37">
        <f t="shared" si="16"/>
        <v>0</v>
      </c>
      <c r="AA97" s="37">
        <f t="shared" si="16"/>
        <v>0</v>
      </c>
      <c r="AB97" s="64">
        <f t="shared" si="14"/>
        <v>0</v>
      </c>
    </row>
    <row r="98" spans="1:28">
      <c r="A98" s="231">
        <v>2087</v>
      </c>
      <c r="B98" s="4">
        <v>103205</v>
      </c>
      <c r="C98" s="4" t="s">
        <v>649</v>
      </c>
      <c r="D98" s="4" t="s">
        <v>650</v>
      </c>
      <c r="E98" s="4" t="s">
        <v>5</v>
      </c>
      <c r="F98" s="232" t="s">
        <v>411</v>
      </c>
      <c r="H98" s="212">
        <v>0</v>
      </c>
      <c r="I98" s="212"/>
      <c r="J98" s="212"/>
      <c r="K98" s="212">
        <v>48685</v>
      </c>
      <c r="L98" s="212"/>
      <c r="M98" s="212"/>
      <c r="N98" s="212">
        <v>0</v>
      </c>
      <c r="O98" s="212">
        <v>0</v>
      </c>
      <c r="P98" s="212">
        <v>0</v>
      </c>
      <c r="Q98" s="229">
        <f t="shared" si="12"/>
        <v>48685</v>
      </c>
      <c r="S98" s="37">
        <f t="shared" si="16"/>
        <v>0</v>
      </c>
      <c r="T98" s="37">
        <f t="shared" si="16"/>
        <v>0</v>
      </c>
      <c r="U98" s="37">
        <f t="shared" si="16"/>
        <v>0</v>
      </c>
      <c r="V98" s="37">
        <f t="shared" si="16"/>
        <v>0</v>
      </c>
      <c r="W98" s="37">
        <f t="shared" si="16"/>
        <v>0</v>
      </c>
      <c r="X98" s="37">
        <f t="shared" si="16"/>
        <v>0</v>
      </c>
      <c r="Y98" s="37">
        <f t="shared" si="16"/>
        <v>0</v>
      </c>
      <c r="Z98" s="37">
        <f t="shared" si="16"/>
        <v>0</v>
      </c>
      <c r="AA98" s="37">
        <f t="shared" si="16"/>
        <v>0</v>
      </c>
      <c r="AB98" s="64">
        <f t="shared" si="14"/>
        <v>0</v>
      </c>
    </row>
    <row r="99" spans="1:28">
      <c r="A99" s="231">
        <v>2466</v>
      </c>
      <c r="B99" s="4">
        <v>103392</v>
      </c>
      <c r="C99" s="4" t="s">
        <v>652</v>
      </c>
      <c r="D99" s="4" t="s">
        <v>653</v>
      </c>
      <c r="E99" s="4" t="s">
        <v>5</v>
      </c>
      <c r="F99" s="232" t="s">
        <v>411</v>
      </c>
      <c r="H99" s="212">
        <v>0</v>
      </c>
      <c r="I99" s="212"/>
      <c r="J99" s="212"/>
      <c r="K99" s="212">
        <v>18917.5</v>
      </c>
      <c r="L99" s="212"/>
      <c r="M99" s="212"/>
      <c r="N99" s="212">
        <v>0</v>
      </c>
      <c r="O99" s="212">
        <v>0</v>
      </c>
      <c r="P99" s="212">
        <v>0</v>
      </c>
      <c r="Q99" s="229">
        <f t="shared" si="12"/>
        <v>18917.5</v>
      </c>
      <c r="S99" s="37">
        <f t="shared" si="16"/>
        <v>0</v>
      </c>
      <c r="T99" s="37">
        <f t="shared" si="16"/>
        <v>0</v>
      </c>
      <c r="U99" s="37">
        <f t="shared" si="16"/>
        <v>0</v>
      </c>
      <c r="V99" s="37">
        <f t="shared" si="16"/>
        <v>0</v>
      </c>
      <c r="W99" s="37">
        <f t="shared" si="16"/>
        <v>0</v>
      </c>
      <c r="X99" s="37">
        <f t="shared" si="16"/>
        <v>0</v>
      </c>
      <c r="Y99" s="37">
        <f t="shared" si="16"/>
        <v>0</v>
      </c>
      <c r="Z99" s="37">
        <f t="shared" si="16"/>
        <v>0</v>
      </c>
      <c r="AA99" s="37">
        <f t="shared" si="16"/>
        <v>0</v>
      </c>
      <c r="AB99" s="64">
        <f t="shared" si="14"/>
        <v>0</v>
      </c>
    </row>
    <row r="100" spans="1:28">
      <c r="A100" s="231">
        <v>2091</v>
      </c>
      <c r="B100" s="4">
        <v>103208</v>
      </c>
      <c r="C100" s="4" t="s">
        <v>655</v>
      </c>
      <c r="D100" s="4" t="s">
        <v>656</v>
      </c>
      <c r="E100" s="4" t="s">
        <v>5</v>
      </c>
      <c r="F100" s="232" t="s">
        <v>411</v>
      </c>
      <c r="H100" s="212">
        <v>0</v>
      </c>
      <c r="I100" s="212"/>
      <c r="J100" s="212"/>
      <c r="K100" s="212">
        <v>39478.33</v>
      </c>
      <c r="L100" s="212"/>
      <c r="M100" s="212"/>
      <c r="N100" s="212">
        <v>0</v>
      </c>
      <c r="O100" s="212">
        <v>0</v>
      </c>
      <c r="P100" s="212">
        <v>0</v>
      </c>
      <c r="Q100" s="229">
        <f t="shared" si="12"/>
        <v>39478.33</v>
      </c>
      <c r="S100" s="37">
        <f t="shared" si="16"/>
        <v>0</v>
      </c>
      <c r="T100" s="37">
        <f t="shared" si="16"/>
        <v>0</v>
      </c>
      <c r="U100" s="37">
        <f t="shared" si="16"/>
        <v>0</v>
      </c>
      <c r="V100" s="37">
        <f t="shared" si="16"/>
        <v>0</v>
      </c>
      <c r="W100" s="37">
        <f t="shared" si="16"/>
        <v>0</v>
      </c>
      <c r="X100" s="37">
        <f t="shared" si="16"/>
        <v>0</v>
      </c>
      <c r="Y100" s="37">
        <f t="shared" si="16"/>
        <v>0</v>
      </c>
      <c r="Z100" s="37">
        <f t="shared" si="16"/>
        <v>0</v>
      </c>
      <c r="AA100" s="37">
        <f t="shared" si="16"/>
        <v>0</v>
      </c>
      <c r="AB100" s="64">
        <f t="shared" si="14"/>
        <v>0</v>
      </c>
    </row>
    <row r="101" spans="1:28">
      <c r="A101" s="231">
        <v>7006</v>
      </c>
      <c r="B101" s="4">
        <v>103600</v>
      </c>
      <c r="C101" s="4" t="s">
        <v>658</v>
      </c>
      <c r="D101" s="4" t="s">
        <v>659</v>
      </c>
      <c r="E101" s="4" t="s">
        <v>1093</v>
      </c>
      <c r="F101" s="232" t="s">
        <v>411</v>
      </c>
      <c r="H101" s="212">
        <v>189000</v>
      </c>
      <c r="I101" s="212"/>
      <c r="J101" s="212"/>
      <c r="K101" s="212">
        <v>0</v>
      </c>
      <c r="L101" s="212"/>
      <c r="M101" s="212"/>
      <c r="N101" s="212">
        <v>0</v>
      </c>
      <c r="O101" s="212">
        <v>0</v>
      </c>
      <c r="P101" s="212">
        <v>0</v>
      </c>
      <c r="Q101" s="229">
        <f t="shared" si="12"/>
        <v>189000</v>
      </c>
      <c r="S101" s="37">
        <f t="shared" si="16"/>
        <v>0</v>
      </c>
      <c r="T101" s="37">
        <f t="shared" si="16"/>
        <v>0</v>
      </c>
      <c r="U101" s="37">
        <f t="shared" si="16"/>
        <v>0</v>
      </c>
      <c r="V101" s="37">
        <f t="shared" si="16"/>
        <v>0</v>
      </c>
      <c r="W101" s="37">
        <f t="shared" si="16"/>
        <v>0</v>
      </c>
      <c r="X101" s="37">
        <f t="shared" si="16"/>
        <v>0</v>
      </c>
      <c r="Y101" s="37">
        <f t="shared" si="16"/>
        <v>0</v>
      </c>
      <c r="Z101" s="37">
        <f t="shared" si="16"/>
        <v>0</v>
      </c>
      <c r="AA101" s="37">
        <f t="shared" si="16"/>
        <v>0</v>
      </c>
      <c r="AB101" s="64">
        <f t="shared" si="14"/>
        <v>0</v>
      </c>
    </row>
    <row r="102" spans="1:28">
      <c r="A102" s="231">
        <v>2477</v>
      </c>
      <c r="B102" s="4">
        <v>132261</v>
      </c>
      <c r="C102" s="4" t="s">
        <v>661</v>
      </c>
      <c r="D102" s="4" t="s">
        <v>662</v>
      </c>
      <c r="E102" s="4" t="s">
        <v>5</v>
      </c>
      <c r="F102" s="232" t="s">
        <v>411</v>
      </c>
      <c r="H102" s="212">
        <v>0</v>
      </c>
      <c r="I102" s="212"/>
      <c r="J102" s="212"/>
      <c r="K102" s="212">
        <v>42302.5</v>
      </c>
      <c r="L102" s="212"/>
      <c r="M102" s="212"/>
      <c r="N102" s="212">
        <v>30000</v>
      </c>
      <c r="O102" s="212">
        <v>0</v>
      </c>
      <c r="P102" s="212">
        <v>0</v>
      </c>
      <c r="Q102" s="229">
        <f t="shared" si="12"/>
        <v>72302.5</v>
      </c>
      <c r="S102" s="37">
        <f t="shared" ref="S102:AA111" si="17">SUMIF($H$3:$P$3,S$6,$H102:$P102)</f>
        <v>30000</v>
      </c>
      <c r="T102" s="37">
        <f t="shared" si="17"/>
        <v>0</v>
      </c>
      <c r="U102" s="37">
        <f t="shared" si="17"/>
        <v>0</v>
      </c>
      <c r="V102" s="37">
        <f t="shared" si="17"/>
        <v>0</v>
      </c>
      <c r="W102" s="37">
        <f t="shared" si="17"/>
        <v>0</v>
      </c>
      <c r="X102" s="37">
        <f t="shared" si="17"/>
        <v>0</v>
      </c>
      <c r="Y102" s="37">
        <f t="shared" si="17"/>
        <v>0</v>
      </c>
      <c r="Z102" s="37">
        <f t="shared" si="17"/>
        <v>0</v>
      </c>
      <c r="AA102" s="37">
        <f t="shared" si="17"/>
        <v>0</v>
      </c>
      <c r="AB102" s="64">
        <f t="shared" si="14"/>
        <v>0</v>
      </c>
    </row>
    <row r="103" spans="1:28">
      <c r="A103" s="231">
        <v>3436</v>
      </c>
      <c r="B103" s="4">
        <v>136440</v>
      </c>
      <c r="C103" s="4" t="s">
        <v>664</v>
      </c>
      <c r="D103" s="4" t="s">
        <v>665</v>
      </c>
      <c r="E103" s="4" t="s">
        <v>5</v>
      </c>
      <c r="F103" s="232" t="s">
        <v>411</v>
      </c>
      <c r="H103" s="212">
        <v>0</v>
      </c>
      <c r="I103" s="212"/>
      <c r="J103" s="212"/>
      <c r="K103" s="212">
        <v>11865</v>
      </c>
      <c r="L103" s="212"/>
      <c r="M103" s="212"/>
      <c r="N103" s="212">
        <v>0</v>
      </c>
      <c r="O103" s="212">
        <v>0</v>
      </c>
      <c r="P103" s="212">
        <v>0</v>
      </c>
      <c r="Q103" s="229">
        <f t="shared" si="12"/>
        <v>11865</v>
      </c>
      <c r="S103" s="37">
        <f t="shared" si="17"/>
        <v>0</v>
      </c>
      <c r="T103" s="37">
        <f t="shared" si="17"/>
        <v>0</v>
      </c>
      <c r="U103" s="37">
        <f t="shared" si="17"/>
        <v>0</v>
      </c>
      <c r="V103" s="37">
        <f t="shared" si="17"/>
        <v>0</v>
      </c>
      <c r="W103" s="37">
        <f t="shared" si="17"/>
        <v>0</v>
      </c>
      <c r="X103" s="37">
        <f t="shared" si="17"/>
        <v>0</v>
      </c>
      <c r="Y103" s="37">
        <f t="shared" si="17"/>
        <v>0</v>
      </c>
      <c r="Z103" s="37">
        <f t="shared" si="17"/>
        <v>0</v>
      </c>
      <c r="AA103" s="37">
        <f t="shared" si="17"/>
        <v>0</v>
      </c>
      <c r="AB103" s="64">
        <f t="shared" si="14"/>
        <v>0</v>
      </c>
    </row>
    <row r="104" spans="1:28">
      <c r="A104" s="231">
        <v>1010</v>
      </c>
      <c r="B104" s="4">
        <v>103125</v>
      </c>
      <c r="C104" s="4" t="s">
        <v>667</v>
      </c>
      <c r="D104" s="4" t="s">
        <v>668</v>
      </c>
      <c r="E104" s="4" t="s">
        <v>180</v>
      </c>
      <c r="F104" s="232" t="s">
        <v>411</v>
      </c>
      <c r="H104" s="212">
        <v>0</v>
      </c>
      <c r="I104" s="212"/>
      <c r="J104" s="212"/>
      <c r="K104" s="212">
        <v>12571.67</v>
      </c>
      <c r="L104" s="212"/>
      <c r="M104" s="212"/>
      <c r="N104" s="212">
        <v>0</v>
      </c>
      <c r="O104" s="212">
        <v>0</v>
      </c>
      <c r="P104" s="212">
        <v>0</v>
      </c>
      <c r="Q104" s="229">
        <f t="shared" ref="Q104:Q135" si="18">SUM(H104:P104)</f>
        <v>12571.67</v>
      </c>
      <c r="S104" s="37">
        <f t="shared" si="17"/>
        <v>0</v>
      </c>
      <c r="T104" s="37">
        <f t="shared" si="17"/>
        <v>0</v>
      </c>
      <c r="U104" s="37">
        <f t="shared" si="17"/>
        <v>0</v>
      </c>
      <c r="V104" s="37">
        <f t="shared" si="17"/>
        <v>0</v>
      </c>
      <c r="W104" s="37">
        <f t="shared" si="17"/>
        <v>0</v>
      </c>
      <c r="X104" s="37">
        <f t="shared" si="17"/>
        <v>0</v>
      </c>
      <c r="Y104" s="37">
        <f t="shared" si="17"/>
        <v>0</v>
      </c>
      <c r="Z104" s="37">
        <f t="shared" si="17"/>
        <v>0</v>
      </c>
      <c r="AA104" s="37">
        <f t="shared" si="17"/>
        <v>0</v>
      </c>
      <c r="AB104" s="64">
        <f t="shared" ref="AB104:AB135" si="19">SUM(H104:P104)-Q104</f>
        <v>0</v>
      </c>
    </row>
    <row r="105" spans="1:28">
      <c r="A105" s="231">
        <v>3411</v>
      </c>
      <c r="B105" s="4">
        <v>103479</v>
      </c>
      <c r="C105" s="4" t="s">
        <v>673</v>
      </c>
      <c r="D105" s="4" t="s">
        <v>674</v>
      </c>
      <c r="E105" s="4" t="s">
        <v>5</v>
      </c>
      <c r="F105" s="232" t="s">
        <v>411</v>
      </c>
      <c r="H105" s="212">
        <v>0</v>
      </c>
      <c r="I105" s="212"/>
      <c r="J105" s="212"/>
      <c r="K105" s="212">
        <v>83543.33</v>
      </c>
      <c r="L105" s="212"/>
      <c r="M105" s="212"/>
      <c r="N105" s="212">
        <v>0</v>
      </c>
      <c r="O105" s="212">
        <v>0</v>
      </c>
      <c r="P105" s="212">
        <v>0</v>
      </c>
      <c r="Q105" s="229">
        <f t="shared" si="18"/>
        <v>83543.33</v>
      </c>
      <c r="S105" s="37">
        <f t="shared" si="17"/>
        <v>0</v>
      </c>
      <c r="T105" s="37">
        <f t="shared" si="17"/>
        <v>0</v>
      </c>
      <c r="U105" s="37">
        <f t="shared" si="17"/>
        <v>0</v>
      </c>
      <c r="V105" s="37">
        <f t="shared" si="17"/>
        <v>0</v>
      </c>
      <c r="W105" s="37">
        <f t="shared" si="17"/>
        <v>0</v>
      </c>
      <c r="X105" s="37">
        <f t="shared" si="17"/>
        <v>0</v>
      </c>
      <c r="Y105" s="37">
        <f t="shared" si="17"/>
        <v>0</v>
      </c>
      <c r="Z105" s="37">
        <f t="shared" si="17"/>
        <v>0</v>
      </c>
      <c r="AA105" s="37">
        <f t="shared" si="17"/>
        <v>0</v>
      </c>
      <c r="AB105" s="64">
        <f t="shared" si="19"/>
        <v>0</v>
      </c>
    </row>
    <row r="106" spans="1:28">
      <c r="A106" s="231">
        <v>2474</v>
      </c>
      <c r="B106" s="4">
        <v>131672</v>
      </c>
      <c r="C106" s="4" t="s">
        <v>676</v>
      </c>
      <c r="D106" s="4" t="s">
        <v>677</v>
      </c>
      <c r="E106" s="4" t="s">
        <v>5</v>
      </c>
      <c r="F106" s="232" t="s">
        <v>411</v>
      </c>
      <c r="H106" s="212">
        <v>0</v>
      </c>
      <c r="I106" s="212"/>
      <c r="J106" s="212"/>
      <c r="K106" s="212">
        <v>20288.330000000002</v>
      </c>
      <c r="L106" s="212"/>
      <c r="M106" s="212"/>
      <c r="N106" s="212">
        <v>0</v>
      </c>
      <c r="O106" s="212">
        <v>0</v>
      </c>
      <c r="P106" s="212">
        <v>0</v>
      </c>
      <c r="Q106" s="229">
        <f t="shared" si="18"/>
        <v>20288.330000000002</v>
      </c>
      <c r="S106" s="37">
        <f t="shared" si="17"/>
        <v>0</v>
      </c>
      <c r="T106" s="37">
        <f t="shared" si="17"/>
        <v>0</v>
      </c>
      <c r="U106" s="37">
        <f t="shared" si="17"/>
        <v>0</v>
      </c>
      <c r="V106" s="37">
        <f t="shared" si="17"/>
        <v>0</v>
      </c>
      <c r="W106" s="37">
        <f t="shared" si="17"/>
        <v>0</v>
      </c>
      <c r="X106" s="37">
        <f t="shared" si="17"/>
        <v>0</v>
      </c>
      <c r="Y106" s="37">
        <f t="shared" si="17"/>
        <v>0</v>
      </c>
      <c r="Z106" s="37">
        <f t="shared" si="17"/>
        <v>0</v>
      </c>
      <c r="AA106" s="37">
        <f t="shared" si="17"/>
        <v>0</v>
      </c>
      <c r="AB106" s="64">
        <f t="shared" si="19"/>
        <v>0</v>
      </c>
    </row>
    <row r="107" spans="1:28">
      <c r="A107" s="231">
        <v>3317</v>
      </c>
      <c r="B107" s="4">
        <v>103421</v>
      </c>
      <c r="C107" s="4" t="s">
        <v>679</v>
      </c>
      <c r="D107" s="4" t="s">
        <v>161</v>
      </c>
      <c r="E107" s="4" t="s">
        <v>5</v>
      </c>
      <c r="F107" s="232" t="s">
        <v>411</v>
      </c>
      <c r="H107" s="212">
        <v>0</v>
      </c>
      <c r="I107" s="212"/>
      <c r="J107" s="212"/>
      <c r="K107" s="212">
        <v>15330</v>
      </c>
      <c r="L107" s="212"/>
      <c r="M107" s="212"/>
      <c r="N107" s="212">
        <v>0</v>
      </c>
      <c r="O107" s="212">
        <v>0</v>
      </c>
      <c r="P107" s="212">
        <v>0</v>
      </c>
      <c r="Q107" s="229">
        <f t="shared" si="18"/>
        <v>15330</v>
      </c>
      <c r="S107" s="37">
        <f t="shared" si="17"/>
        <v>0</v>
      </c>
      <c r="T107" s="37">
        <f t="shared" si="17"/>
        <v>0</v>
      </c>
      <c r="U107" s="37">
        <f t="shared" si="17"/>
        <v>0</v>
      </c>
      <c r="V107" s="37">
        <f t="shared" si="17"/>
        <v>0</v>
      </c>
      <c r="W107" s="37">
        <f t="shared" si="17"/>
        <v>0</v>
      </c>
      <c r="X107" s="37">
        <f t="shared" si="17"/>
        <v>0</v>
      </c>
      <c r="Y107" s="37">
        <f t="shared" si="17"/>
        <v>0</v>
      </c>
      <c r="Z107" s="37">
        <f t="shared" si="17"/>
        <v>0</v>
      </c>
      <c r="AA107" s="37">
        <f t="shared" si="17"/>
        <v>0</v>
      </c>
      <c r="AB107" s="64">
        <f t="shared" si="19"/>
        <v>0</v>
      </c>
    </row>
    <row r="108" spans="1:28">
      <c r="A108" s="231">
        <v>1023</v>
      </c>
      <c r="B108" s="4">
        <v>103136</v>
      </c>
      <c r="C108" s="4" t="s">
        <v>681</v>
      </c>
      <c r="D108" s="4" t="s">
        <v>682</v>
      </c>
      <c r="E108" s="4" t="s">
        <v>180</v>
      </c>
      <c r="F108" s="232" t="s">
        <v>411</v>
      </c>
      <c r="H108" s="212">
        <v>0</v>
      </c>
      <c r="I108" s="212"/>
      <c r="J108" s="212"/>
      <c r="K108" s="212">
        <v>22562.5</v>
      </c>
      <c r="L108" s="212"/>
      <c r="M108" s="212"/>
      <c r="N108" s="212">
        <v>0</v>
      </c>
      <c r="O108" s="212">
        <v>0</v>
      </c>
      <c r="P108" s="212">
        <v>0</v>
      </c>
      <c r="Q108" s="229">
        <f t="shared" si="18"/>
        <v>22562.5</v>
      </c>
      <c r="S108" s="37">
        <f t="shared" si="17"/>
        <v>0</v>
      </c>
      <c r="T108" s="37">
        <f t="shared" si="17"/>
        <v>0</v>
      </c>
      <c r="U108" s="37">
        <f t="shared" si="17"/>
        <v>0</v>
      </c>
      <c r="V108" s="37">
        <f t="shared" si="17"/>
        <v>0</v>
      </c>
      <c r="W108" s="37">
        <f t="shared" si="17"/>
        <v>0</v>
      </c>
      <c r="X108" s="37">
        <f t="shared" si="17"/>
        <v>0</v>
      </c>
      <c r="Y108" s="37">
        <f t="shared" si="17"/>
        <v>0</v>
      </c>
      <c r="Z108" s="37">
        <f t="shared" si="17"/>
        <v>0</v>
      </c>
      <c r="AA108" s="37">
        <f t="shared" si="17"/>
        <v>0</v>
      </c>
      <c r="AB108" s="64">
        <f t="shared" si="19"/>
        <v>0</v>
      </c>
    </row>
    <row r="109" spans="1:28">
      <c r="A109" s="231">
        <v>3352</v>
      </c>
      <c r="B109" s="4">
        <v>103444</v>
      </c>
      <c r="C109" s="4" t="s">
        <v>684</v>
      </c>
      <c r="D109" s="4" t="s">
        <v>685</v>
      </c>
      <c r="E109" s="4" t="s">
        <v>5</v>
      </c>
      <c r="F109" s="232" t="s">
        <v>411</v>
      </c>
      <c r="H109" s="212">
        <v>0</v>
      </c>
      <c r="I109" s="212"/>
      <c r="J109" s="212"/>
      <c r="K109" s="212">
        <v>14455</v>
      </c>
      <c r="L109" s="212"/>
      <c r="M109" s="212"/>
      <c r="N109" s="212">
        <v>0</v>
      </c>
      <c r="O109" s="212">
        <v>0</v>
      </c>
      <c r="P109" s="212">
        <v>0</v>
      </c>
      <c r="Q109" s="229">
        <f t="shared" si="18"/>
        <v>14455</v>
      </c>
      <c r="S109" s="37">
        <f t="shared" si="17"/>
        <v>0</v>
      </c>
      <c r="T109" s="37">
        <f t="shared" si="17"/>
        <v>0</v>
      </c>
      <c r="U109" s="37">
        <f t="shared" si="17"/>
        <v>0</v>
      </c>
      <c r="V109" s="37">
        <f t="shared" si="17"/>
        <v>0</v>
      </c>
      <c r="W109" s="37">
        <f t="shared" si="17"/>
        <v>0</v>
      </c>
      <c r="X109" s="37">
        <f t="shared" si="17"/>
        <v>0</v>
      </c>
      <c r="Y109" s="37">
        <f t="shared" si="17"/>
        <v>0</v>
      </c>
      <c r="Z109" s="37">
        <f t="shared" si="17"/>
        <v>0</v>
      </c>
      <c r="AA109" s="37">
        <f t="shared" si="17"/>
        <v>0</v>
      </c>
      <c r="AB109" s="64">
        <f t="shared" si="19"/>
        <v>0</v>
      </c>
    </row>
    <row r="110" spans="1:28">
      <c r="A110" s="231">
        <v>2005</v>
      </c>
      <c r="B110" s="4">
        <v>134098</v>
      </c>
      <c r="C110" s="4" t="s">
        <v>690</v>
      </c>
      <c r="D110" s="4" t="s">
        <v>691</v>
      </c>
      <c r="E110" s="4" t="s">
        <v>5</v>
      </c>
      <c r="F110" s="232" t="s">
        <v>411</v>
      </c>
      <c r="H110" s="212">
        <v>0</v>
      </c>
      <c r="I110" s="212"/>
      <c r="J110" s="212"/>
      <c r="K110" s="212">
        <v>21000</v>
      </c>
      <c r="L110" s="212"/>
      <c r="M110" s="212"/>
      <c r="N110" s="212">
        <v>0</v>
      </c>
      <c r="O110" s="212">
        <v>0</v>
      </c>
      <c r="P110" s="212">
        <v>0</v>
      </c>
      <c r="Q110" s="229">
        <f t="shared" si="18"/>
        <v>21000</v>
      </c>
      <c r="S110" s="37">
        <f t="shared" si="17"/>
        <v>0</v>
      </c>
      <c r="T110" s="37">
        <f t="shared" si="17"/>
        <v>0</v>
      </c>
      <c r="U110" s="37">
        <f t="shared" si="17"/>
        <v>0</v>
      </c>
      <c r="V110" s="37">
        <f t="shared" si="17"/>
        <v>0</v>
      </c>
      <c r="W110" s="37">
        <f t="shared" si="17"/>
        <v>0</v>
      </c>
      <c r="X110" s="37">
        <f t="shared" si="17"/>
        <v>0</v>
      </c>
      <c r="Y110" s="37">
        <f t="shared" si="17"/>
        <v>0</v>
      </c>
      <c r="Z110" s="37">
        <f t="shared" si="17"/>
        <v>0</v>
      </c>
      <c r="AA110" s="37">
        <f t="shared" si="17"/>
        <v>0</v>
      </c>
      <c r="AB110" s="64">
        <f t="shared" si="19"/>
        <v>0</v>
      </c>
    </row>
    <row r="111" spans="1:28">
      <c r="A111" s="231">
        <v>1016</v>
      </c>
      <c r="B111" s="4">
        <v>103129</v>
      </c>
      <c r="C111" s="4" t="s">
        <v>693</v>
      </c>
      <c r="D111" s="4" t="s">
        <v>694</v>
      </c>
      <c r="E111" s="4" t="s">
        <v>180</v>
      </c>
      <c r="F111" s="232" t="s">
        <v>411</v>
      </c>
      <c r="H111" s="212">
        <v>0</v>
      </c>
      <c r="I111" s="212"/>
      <c r="J111" s="212"/>
      <c r="K111" s="212">
        <v>6375</v>
      </c>
      <c r="L111" s="212"/>
      <c r="M111" s="212"/>
      <c r="N111" s="212">
        <v>0</v>
      </c>
      <c r="O111" s="212">
        <v>0</v>
      </c>
      <c r="P111" s="212">
        <v>0</v>
      </c>
      <c r="Q111" s="229">
        <f t="shared" si="18"/>
        <v>6375</v>
      </c>
      <c r="S111" s="37">
        <f t="shared" si="17"/>
        <v>0</v>
      </c>
      <c r="T111" s="37">
        <f t="shared" si="17"/>
        <v>0</v>
      </c>
      <c r="U111" s="37">
        <f t="shared" si="17"/>
        <v>0</v>
      </c>
      <c r="V111" s="37">
        <f t="shared" si="17"/>
        <v>0</v>
      </c>
      <c r="W111" s="37">
        <f t="shared" si="17"/>
        <v>0</v>
      </c>
      <c r="X111" s="37">
        <f t="shared" si="17"/>
        <v>0</v>
      </c>
      <c r="Y111" s="37">
        <f t="shared" si="17"/>
        <v>0</v>
      </c>
      <c r="Z111" s="37">
        <f t="shared" si="17"/>
        <v>0</v>
      </c>
      <c r="AA111" s="37">
        <f t="shared" si="17"/>
        <v>0</v>
      </c>
      <c r="AB111" s="64">
        <f t="shared" si="19"/>
        <v>0</v>
      </c>
    </row>
    <row r="112" spans="1:28">
      <c r="A112" s="231">
        <v>2115</v>
      </c>
      <c r="B112" s="4">
        <v>103221</v>
      </c>
      <c r="C112" s="4" t="s">
        <v>696</v>
      </c>
      <c r="D112" s="4" t="s">
        <v>697</v>
      </c>
      <c r="E112" s="4" t="s">
        <v>5</v>
      </c>
      <c r="F112" s="232" t="s">
        <v>411</v>
      </c>
      <c r="H112" s="212">
        <v>0</v>
      </c>
      <c r="I112" s="212"/>
      <c r="J112" s="212"/>
      <c r="K112" s="212">
        <v>36225</v>
      </c>
      <c r="L112" s="212"/>
      <c r="M112" s="212"/>
      <c r="N112" s="212">
        <v>0</v>
      </c>
      <c r="O112" s="212">
        <v>0</v>
      </c>
      <c r="P112" s="212">
        <v>0</v>
      </c>
      <c r="Q112" s="229">
        <f t="shared" si="18"/>
        <v>36225</v>
      </c>
      <c r="S112" s="37">
        <f t="shared" ref="S112:AA121" si="20">SUMIF($H$3:$P$3,S$6,$H112:$P112)</f>
        <v>0</v>
      </c>
      <c r="T112" s="37">
        <f t="shared" si="20"/>
        <v>0</v>
      </c>
      <c r="U112" s="37">
        <f t="shared" si="20"/>
        <v>0</v>
      </c>
      <c r="V112" s="37">
        <f t="shared" si="20"/>
        <v>0</v>
      </c>
      <c r="W112" s="37">
        <f t="shared" si="20"/>
        <v>0</v>
      </c>
      <c r="X112" s="37">
        <f t="shared" si="20"/>
        <v>0</v>
      </c>
      <c r="Y112" s="37">
        <f t="shared" si="20"/>
        <v>0</v>
      </c>
      <c r="Z112" s="37">
        <f t="shared" si="20"/>
        <v>0</v>
      </c>
      <c r="AA112" s="37">
        <f t="shared" si="20"/>
        <v>0</v>
      </c>
      <c r="AB112" s="64">
        <f t="shared" si="19"/>
        <v>0</v>
      </c>
    </row>
    <row r="113" spans="1:28">
      <c r="A113" s="231">
        <v>2441</v>
      </c>
      <c r="B113" s="4">
        <v>103368</v>
      </c>
      <c r="C113" s="4" t="s">
        <v>699</v>
      </c>
      <c r="D113" s="4" t="s">
        <v>700</v>
      </c>
      <c r="E113" s="4" t="s">
        <v>5</v>
      </c>
      <c r="F113" s="232" t="s">
        <v>411</v>
      </c>
      <c r="H113" s="212">
        <v>0</v>
      </c>
      <c r="I113" s="212"/>
      <c r="J113" s="212"/>
      <c r="K113" s="212">
        <v>21000</v>
      </c>
      <c r="L113" s="212"/>
      <c r="M113" s="212"/>
      <c r="N113" s="212">
        <v>0</v>
      </c>
      <c r="O113" s="212">
        <v>0</v>
      </c>
      <c r="P113" s="212">
        <v>0</v>
      </c>
      <c r="Q113" s="229">
        <f t="shared" si="18"/>
        <v>21000</v>
      </c>
      <c r="S113" s="37">
        <f t="shared" si="20"/>
        <v>0</v>
      </c>
      <c r="T113" s="37">
        <f t="shared" si="20"/>
        <v>0</v>
      </c>
      <c r="U113" s="37">
        <f t="shared" si="20"/>
        <v>0</v>
      </c>
      <c r="V113" s="37">
        <f t="shared" si="20"/>
        <v>0</v>
      </c>
      <c r="W113" s="37">
        <f t="shared" si="20"/>
        <v>0</v>
      </c>
      <c r="X113" s="37">
        <f t="shared" si="20"/>
        <v>0</v>
      </c>
      <c r="Y113" s="37">
        <f t="shared" si="20"/>
        <v>0</v>
      </c>
      <c r="Z113" s="37">
        <f t="shared" si="20"/>
        <v>0</v>
      </c>
      <c r="AA113" s="37">
        <f t="shared" si="20"/>
        <v>0</v>
      </c>
      <c r="AB113" s="64">
        <f t="shared" si="19"/>
        <v>0</v>
      </c>
    </row>
    <row r="114" spans="1:28">
      <c r="A114" s="231">
        <v>2321</v>
      </c>
      <c r="B114" s="4">
        <v>103339</v>
      </c>
      <c r="C114" s="4" t="s">
        <v>702</v>
      </c>
      <c r="D114" s="4" t="s">
        <v>863</v>
      </c>
      <c r="E114" s="4" t="s">
        <v>5</v>
      </c>
      <c r="F114" s="232" t="s">
        <v>411</v>
      </c>
      <c r="H114" s="212">
        <v>0</v>
      </c>
      <c r="I114" s="212"/>
      <c r="J114" s="212"/>
      <c r="K114" s="212">
        <v>49411.25</v>
      </c>
      <c r="L114" s="212"/>
      <c r="M114" s="212"/>
      <c r="N114" s="212">
        <v>0</v>
      </c>
      <c r="O114" s="212">
        <v>0</v>
      </c>
      <c r="P114" s="212">
        <v>0</v>
      </c>
      <c r="Q114" s="229">
        <f t="shared" si="18"/>
        <v>49411.25</v>
      </c>
      <c r="S114" s="37">
        <f t="shared" si="20"/>
        <v>0</v>
      </c>
      <c r="T114" s="37">
        <f t="shared" si="20"/>
        <v>0</v>
      </c>
      <c r="U114" s="37">
        <f t="shared" si="20"/>
        <v>0</v>
      </c>
      <c r="V114" s="37">
        <f t="shared" si="20"/>
        <v>0</v>
      </c>
      <c r="W114" s="37">
        <f t="shared" si="20"/>
        <v>0</v>
      </c>
      <c r="X114" s="37">
        <f t="shared" si="20"/>
        <v>0</v>
      </c>
      <c r="Y114" s="37">
        <f t="shared" si="20"/>
        <v>0</v>
      </c>
      <c r="Z114" s="37">
        <f t="shared" si="20"/>
        <v>0</v>
      </c>
      <c r="AA114" s="37">
        <f t="shared" si="20"/>
        <v>0</v>
      </c>
      <c r="AB114" s="64">
        <f t="shared" si="19"/>
        <v>0</v>
      </c>
    </row>
    <row r="115" spans="1:28">
      <c r="A115" s="231">
        <v>1024</v>
      </c>
      <c r="B115" s="4">
        <v>103137</v>
      </c>
      <c r="C115" s="4" t="s">
        <v>705</v>
      </c>
      <c r="D115" s="4" t="s">
        <v>706</v>
      </c>
      <c r="E115" s="4" t="s">
        <v>180</v>
      </c>
      <c r="F115" s="232" t="s">
        <v>411</v>
      </c>
      <c r="H115" s="212">
        <v>0</v>
      </c>
      <c r="I115" s="212"/>
      <c r="J115" s="212"/>
      <c r="K115" s="212">
        <v>1156.25</v>
      </c>
      <c r="L115" s="212"/>
      <c r="M115" s="212"/>
      <c r="N115" s="212">
        <v>0</v>
      </c>
      <c r="O115" s="212">
        <v>0</v>
      </c>
      <c r="P115" s="212">
        <v>0</v>
      </c>
      <c r="Q115" s="229">
        <f t="shared" si="18"/>
        <v>1156.25</v>
      </c>
      <c r="S115" s="37">
        <f t="shared" si="20"/>
        <v>0</v>
      </c>
      <c r="T115" s="37">
        <f t="shared" si="20"/>
        <v>0</v>
      </c>
      <c r="U115" s="37">
        <f t="shared" si="20"/>
        <v>0</v>
      </c>
      <c r="V115" s="37">
        <f t="shared" si="20"/>
        <v>0</v>
      </c>
      <c r="W115" s="37">
        <f t="shared" si="20"/>
        <v>0</v>
      </c>
      <c r="X115" s="37">
        <f t="shared" si="20"/>
        <v>0</v>
      </c>
      <c r="Y115" s="37">
        <f t="shared" si="20"/>
        <v>0</v>
      </c>
      <c r="Z115" s="37">
        <f t="shared" si="20"/>
        <v>0</v>
      </c>
      <c r="AA115" s="37">
        <f t="shared" si="20"/>
        <v>0</v>
      </c>
      <c r="AB115" s="64">
        <f t="shared" si="19"/>
        <v>0</v>
      </c>
    </row>
    <row r="116" spans="1:28">
      <c r="A116" s="231">
        <v>7062</v>
      </c>
      <c r="B116" s="4">
        <v>103632</v>
      </c>
      <c r="C116" s="4" t="s">
        <v>708</v>
      </c>
      <c r="D116" s="4" t="s">
        <v>709</v>
      </c>
      <c r="E116" s="4" t="s">
        <v>1093</v>
      </c>
      <c r="F116" s="232" t="s">
        <v>411</v>
      </c>
      <c r="H116" s="212">
        <v>95550</v>
      </c>
      <c r="I116" s="212"/>
      <c r="J116" s="212"/>
      <c r="K116" s="212">
        <v>0</v>
      </c>
      <c r="L116" s="212"/>
      <c r="M116" s="212"/>
      <c r="N116" s="212">
        <v>0</v>
      </c>
      <c r="O116" s="212">
        <v>0</v>
      </c>
      <c r="P116" s="212">
        <v>0</v>
      </c>
      <c r="Q116" s="229">
        <f t="shared" si="18"/>
        <v>95550</v>
      </c>
      <c r="S116" s="37">
        <f t="shared" si="20"/>
        <v>0</v>
      </c>
      <c r="T116" s="37">
        <f t="shared" si="20"/>
        <v>0</v>
      </c>
      <c r="U116" s="37">
        <f t="shared" si="20"/>
        <v>0</v>
      </c>
      <c r="V116" s="37">
        <f t="shared" si="20"/>
        <v>0</v>
      </c>
      <c r="W116" s="37">
        <f t="shared" si="20"/>
        <v>0</v>
      </c>
      <c r="X116" s="37">
        <f t="shared" si="20"/>
        <v>0</v>
      </c>
      <c r="Y116" s="37">
        <f t="shared" si="20"/>
        <v>0</v>
      </c>
      <c r="Z116" s="37">
        <f t="shared" si="20"/>
        <v>0</v>
      </c>
      <c r="AA116" s="37">
        <f t="shared" si="20"/>
        <v>0</v>
      </c>
      <c r="AB116" s="64">
        <f t="shared" si="19"/>
        <v>0</v>
      </c>
    </row>
    <row r="117" spans="1:28">
      <c r="A117" s="231">
        <v>2004</v>
      </c>
      <c r="B117" s="4">
        <v>134094</v>
      </c>
      <c r="C117" s="4" t="s">
        <v>711</v>
      </c>
      <c r="D117" s="4" t="s">
        <v>712</v>
      </c>
      <c r="E117" s="4" t="s">
        <v>5</v>
      </c>
      <c r="F117" s="232" t="s">
        <v>411</v>
      </c>
      <c r="H117" s="212">
        <v>0</v>
      </c>
      <c r="I117" s="212"/>
      <c r="J117" s="212"/>
      <c r="K117" s="212">
        <v>15376.67</v>
      </c>
      <c r="L117" s="212"/>
      <c r="M117" s="212"/>
      <c r="N117" s="212">
        <v>0</v>
      </c>
      <c r="O117" s="212">
        <v>0</v>
      </c>
      <c r="P117" s="212">
        <v>0</v>
      </c>
      <c r="Q117" s="229">
        <f t="shared" si="18"/>
        <v>15376.67</v>
      </c>
      <c r="S117" s="37">
        <f t="shared" si="20"/>
        <v>0</v>
      </c>
      <c r="T117" s="37">
        <f t="shared" si="20"/>
        <v>0</v>
      </c>
      <c r="U117" s="37">
        <f t="shared" si="20"/>
        <v>0</v>
      </c>
      <c r="V117" s="37">
        <f t="shared" si="20"/>
        <v>0</v>
      </c>
      <c r="W117" s="37">
        <f t="shared" si="20"/>
        <v>0</v>
      </c>
      <c r="X117" s="37">
        <f t="shared" si="20"/>
        <v>0</v>
      </c>
      <c r="Y117" s="37">
        <f t="shared" si="20"/>
        <v>0</v>
      </c>
      <c r="Z117" s="37">
        <f t="shared" si="20"/>
        <v>0</v>
      </c>
      <c r="AA117" s="37">
        <f t="shared" si="20"/>
        <v>0</v>
      </c>
      <c r="AB117" s="64">
        <f t="shared" si="19"/>
        <v>0</v>
      </c>
    </row>
    <row r="118" spans="1:28">
      <c r="A118" s="231">
        <v>1012</v>
      </c>
      <c r="B118" s="4">
        <v>103126</v>
      </c>
      <c r="C118" s="4" t="s">
        <v>714</v>
      </c>
      <c r="D118" s="4" t="s">
        <v>715</v>
      </c>
      <c r="E118" s="4" t="s">
        <v>180</v>
      </c>
      <c r="F118" s="232" t="s">
        <v>411</v>
      </c>
      <c r="H118" s="212">
        <v>0</v>
      </c>
      <c r="I118" s="212"/>
      <c r="J118" s="212"/>
      <c r="K118" s="212">
        <v>13112.5</v>
      </c>
      <c r="L118" s="212"/>
      <c r="M118" s="212"/>
      <c r="N118" s="212">
        <v>0</v>
      </c>
      <c r="O118" s="212">
        <v>0</v>
      </c>
      <c r="P118" s="212">
        <v>0</v>
      </c>
      <c r="Q118" s="229">
        <f t="shared" si="18"/>
        <v>13112.5</v>
      </c>
      <c r="S118" s="37">
        <f t="shared" si="20"/>
        <v>0</v>
      </c>
      <c r="T118" s="37">
        <f t="shared" si="20"/>
        <v>0</v>
      </c>
      <c r="U118" s="37">
        <f t="shared" si="20"/>
        <v>0</v>
      </c>
      <c r="V118" s="37">
        <f t="shared" si="20"/>
        <v>0</v>
      </c>
      <c r="W118" s="37">
        <f t="shared" si="20"/>
        <v>0</v>
      </c>
      <c r="X118" s="37">
        <f t="shared" si="20"/>
        <v>0</v>
      </c>
      <c r="Y118" s="37">
        <f t="shared" si="20"/>
        <v>0</v>
      </c>
      <c r="Z118" s="37">
        <f t="shared" si="20"/>
        <v>0</v>
      </c>
      <c r="AA118" s="37">
        <f t="shared" si="20"/>
        <v>0</v>
      </c>
      <c r="AB118" s="64">
        <f t="shared" si="19"/>
        <v>0</v>
      </c>
    </row>
    <row r="119" spans="1:28">
      <c r="A119" s="231">
        <v>3003</v>
      </c>
      <c r="B119" s="4">
        <v>103398</v>
      </c>
      <c r="C119" s="4" t="s">
        <v>717</v>
      </c>
      <c r="D119" s="4" t="s">
        <v>718</v>
      </c>
      <c r="E119" s="4" t="s">
        <v>5</v>
      </c>
      <c r="F119" s="232" t="s">
        <v>411</v>
      </c>
      <c r="H119" s="212">
        <v>0</v>
      </c>
      <c r="I119" s="212"/>
      <c r="J119" s="212"/>
      <c r="K119" s="212">
        <v>12600</v>
      </c>
      <c r="L119" s="212"/>
      <c r="M119" s="212"/>
      <c r="N119" s="212">
        <v>0</v>
      </c>
      <c r="O119" s="212">
        <v>0</v>
      </c>
      <c r="P119" s="212">
        <v>0</v>
      </c>
      <c r="Q119" s="229">
        <f t="shared" si="18"/>
        <v>12600</v>
      </c>
      <c r="S119" s="37">
        <f t="shared" si="20"/>
        <v>0</v>
      </c>
      <c r="T119" s="37">
        <f t="shared" si="20"/>
        <v>0</v>
      </c>
      <c r="U119" s="37">
        <f t="shared" si="20"/>
        <v>0</v>
      </c>
      <c r="V119" s="37">
        <f t="shared" si="20"/>
        <v>0</v>
      </c>
      <c r="W119" s="37">
        <f t="shared" si="20"/>
        <v>0</v>
      </c>
      <c r="X119" s="37">
        <f t="shared" si="20"/>
        <v>0</v>
      </c>
      <c r="Y119" s="37">
        <f t="shared" si="20"/>
        <v>0</v>
      </c>
      <c r="Z119" s="37">
        <f t="shared" si="20"/>
        <v>0</v>
      </c>
      <c r="AA119" s="37">
        <f t="shared" si="20"/>
        <v>0</v>
      </c>
      <c r="AB119" s="64">
        <f t="shared" si="19"/>
        <v>0</v>
      </c>
    </row>
    <row r="120" spans="1:28">
      <c r="A120" s="231">
        <v>2457</v>
      </c>
      <c r="B120" s="4">
        <v>103384</v>
      </c>
      <c r="C120" s="4" t="s">
        <v>720</v>
      </c>
      <c r="D120" s="4" t="s">
        <v>721</v>
      </c>
      <c r="E120" s="4" t="s">
        <v>5</v>
      </c>
      <c r="F120" s="232" t="s">
        <v>411</v>
      </c>
      <c r="H120" s="212">
        <v>0</v>
      </c>
      <c r="I120" s="212"/>
      <c r="J120" s="212"/>
      <c r="K120" s="212">
        <v>60317.5</v>
      </c>
      <c r="L120" s="212"/>
      <c r="M120" s="212"/>
      <c r="N120" s="212">
        <v>0</v>
      </c>
      <c r="O120" s="212">
        <v>0</v>
      </c>
      <c r="P120" s="212">
        <v>0</v>
      </c>
      <c r="Q120" s="229">
        <f t="shared" si="18"/>
        <v>60317.5</v>
      </c>
      <c r="S120" s="37">
        <f t="shared" si="20"/>
        <v>0</v>
      </c>
      <c r="T120" s="37">
        <f t="shared" si="20"/>
        <v>0</v>
      </c>
      <c r="U120" s="37">
        <f t="shared" si="20"/>
        <v>0</v>
      </c>
      <c r="V120" s="37">
        <f t="shared" si="20"/>
        <v>0</v>
      </c>
      <c r="W120" s="37">
        <f t="shared" si="20"/>
        <v>0</v>
      </c>
      <c r="X120" s="37">
        <f t="shared" si="20"/>
        <v>0</v>
      </c>
      <c r="Y120" s="37">
        <f t="shared" si="20"/>
        <v>0</v>
      </c>
      <c r="Z120" s="37">
        <f t="shared" si="20"/>
        <v>0</v>
      </c>
      <c r="AA120" s="37">
        <f t="shared" si="20"/>
        <v>0</v>
      </c>
      <c r="AB120" s="64">
        <f t="shared" si="19"/>
        <v>0</v>
      </c>
    </row>
    <row r="121" spans="1:28">
      <c r="A121" s="231">
        <v>2142</v>
      </c>
      <c r="B121" s="4">
        <v>103237</v>
      </c>
      <c r="C121" s="4" t="s">
        <v>723</v>
      </c>
      <c r="D121" s="4" t="s">
        <v>724</v>
      </c>
      <c r="E121" s="4" t="s">
        <v>5</v>
      </c>
      <c r="F121" s="232" t="s">
        <v>411</v>
      </c>
      <c r="H121" s="212">
        <v>0</v>
      </c>
      <c r="I121" s="212"/>
      <c r="J121" s="212"/>
      <c r="K121" s="212">
        <v>63612.5</v>
      </c>
      <c r="L121" s="212"/>
      <c r="M121" s="212"/>
      <c r="N121" s="212">
        <v>0</v>
      </c>
      <c r="O121" s="212">
        <v>0</v>
      </c>
      <c r="P121" s="212">
        <v>0</v>
      </c>
      <c r="Q121" s="229">
        <f t="shared" si="18"/>
        <v>63612.5</v>
      </c>
      <c r="S121" s="37">
        <f t="shared" si="20"/>
        <v>0</v>
      </c>
      <c r="T121" s="37">
        <f t="shared" si="20"/>
        <v>0</v>
      </c>
      <c r="U121" s="37">
        <f t="shared" si="20"/>
        <v>0</v>
      </c>
      <c r="V121" s="37">
        <f t="shared" si="20"/>
        <v>0</v>
      </c>
      <c r="W121" s="37">
        <f t="shared" si="20"/>
        <v>0</v>
      </c>
      <c r="X121" s="37">
        <f t="shared" si="20"/>
        <v>0</v>
      </c>
      <c r="Y121" s="37">
        <f t="shared" si="20"/>
        <v>0</v>
      </c>
      <c r="Z121" s="37">
        <f t="shared" si="20"/>
        <v>0</v>
      </c>
      <c r="AA121" s="37">
        <f t="shared" si="20"/>
        <v>0</v>
      </c>
      <c r="AB121" s="64">
        <f t="shared" si="19"/>
        <v>0</v>
      </c>
    </row>
    <row r="122" spans="1:28">
      <c r="A122" s="231">
        <v>2469</v>
      </c>
      <c r="B122" s="4">
        <v>103395</v>
      </c>
      <c r="C122" s="4" t="s">
        <v>726</v>
      </c>
      <c r="D122" s="4" t="s">
        <v>727</v>
      </c>
      <c r="E122" s="4" t="s">
        <v>5</v>
      </c>
      <c r="F122" s="232" t="s">
        <v>411</v>
      </c>
      <c r="H122" s="212">
        <v>0</v>
      </c>
      <c r="I122" s="212"/>
      <c r="J122" s="212"/>
      <c r="K122" s="212">
        <v>22225</v>
      </c>
      <c r="L122" s="212"/>
      <c r="M122" s="212"/>
      <c r="N122" s="212">
        <v>0</v>
      </c>
      <c r="O122" s="212">
        <v>0</v>
      </c>
      <c r="P122" s="212">
        <v>0</v>
      </c>
      <c r="Q122" s="229">
        <f t="shared" si="18"/>
        <v>22225</v>
      </c>
      <c r="S122" s="37">
        <f t="shared" ref="S122:AA131" si="21">SUMIF($H$3:$P$3,S$6,$H122:$P122)</f>
        <v>0</v>
      </c>
      <c r="T122" s="37">
        <f t="shared" si="21"/>
        <v>0</v>
      </c>
      <c r="U122" s="37">
        <f t="shared" si="21"/>
        <v>0</v>
      </c>
      <c r="V122" s="37">
        <f t="shared" si="21"/>
        <v>0</v>
      </c>
      <c r="W122" s="37">
        <f t="shared" si="21"/>
        <v>0</v>
      </c>
      <c r="X122" s="37">
        <f t="shared" si="21"/>
        <v>0</v>
      </c>
      <c r="Y122" s="37">
        <f t="shared" si="21"/>
        <v>0</v>
      </c>
      <c r="Z122" s="37">
        <f t="shared" si="21"/>
        <v>0</v>
      </c>
      <c r="AA122" s="37">
        <f t="shared" si="21"/>
        <v>0</v>
      </c>
      <c r="AB122" s="64">
        <f t="shared" si="19"/>
        <v>0</v>
      </c>
    </row>
    <row r="123" spans="1:28">
      <c r="A123" s="231">
        <v>3431</v>
      </c>
      <c r="B123" s="4">
        <v>134774</v>
      </c>
      <c r="C123" s="4" t="s">
        <v>729</v>
      </c>
      <c r="D123" s="4" t="s">
        <v>730</v>
      </c>
      <c r="E123" s="4" t="s">
        <v>5</v>
      </c>
      <c r="F123" s="232" t="s">
        <v>411</v>
      </c>
      <c r="H123" s="212">
        <v>0</v>
      </c>
      <c r="I123" s="212"/>
      <c r="J123" s="212"/>
      <c r="K123" s="212">
        <v>33086</v>
      </c>
      <c r="L123" s="212"/>
      <c r="M123" s="212"/>
      <c r="N123" s="212">
        <v>0</v>
      </c>
      <c r="O123" s="212">
        <v>0</v>
      </c>
      <c r="P123" s="212">
        <v>0</v>
      </c>
      <c r="Q123" s="229">
        <f t="shared" si="18"/>
        <v>33086</v>
      </c>
      <c r="S123" s="37">
        <f t="shared" si="21"/>
        <v>0</v>
      </c>
      <c r="T123" s="37">
        <f t="shared" si="21"/>
        <v>0</v>
      </c>
      <c r="U123" s="37">
        <f t="shared" si="21"/>
        <v>0</v>
      </c>
      <c r="V123" s="37">
        <f t="shared" si="21"/>
        <v>0</v>
      </c>
      <c r="W123" s="37">
        <f t="shared" si="21"/>
        <v>0</v>
      </c>
      <c r="X123" s="37">
        <f t="shared" si="21"/>
        <v>0</v>
      </c>
      <c r="Y123" s="37">
        <f t="shared" si="21"/>
        <v>0</v>
      </c>
      <c r="Z123" s="37">
        <f t="shared" si="21"/>
        <v>0</v>
      </c>
      <c r="AA123" s="37">
        <f t="shared" si="21"/>
        <v>0</v>
      </c>
      <c r="AB123" s="64">
        <f t="shared" si="19"/>
        <v>0</v>
      </c>
    </row>
    <row r="124" spans="1:28">
      <c r="A124" s="231">
        <v>1028</v>
      </c>
      <c r="B124" s="4">
        <v>103141</v>
      </c>
      <c r="C124" s="4" t="s">
        <v>732</v>
      </c>
      <c r="D124" s="4" t="s">
        <v>733</v>
      </c>
      <c r="E124" s="4" t="s">
        <v>180</v>
      </c>
      <c r="F124" s="232" t="s">
        <v>411</v>
      </c>
      <c r="H124" s="212">
        <v>0</v>
      </c>
      <c r="I124" s="212"/>
      <c r="J124" s="212"/>
      <c r="K124" s="212">
        <v>6200</v>
      </c>
      <c r="L124" s="212"/>
      <c r="M124" s="212"/>
      <c r="N124" s="212">
        <v>0</v>
      </c>
      <c r="O124" s="212">
        <v>0</v>
      </c>
      <c r="P124" s="212">
        <v>0</v>
      </c>
      <c r="Q124" s="229">
        <f t="shared" si="18"/>
        <v>6200</v>
      </c>
      <c r="S124" s="37">
        <f t="shared" si="21"/>
        <v>0</v>
      </c>
      <c r="T124" s="37">
        <f t="shared" si="21"/>
        <v>0</v>
      </c>
      <c r="U124" s="37">
        <f t="shared" si="21"/>
        <v>0</v>
      </c>
      <c r="V124" s="37">
        <f t="shared" si="21"/>
        <v>0</v>
      </c>
      <c r="W124" s="37">
        <f t="shared" si="21"/>
        <v>0</v>
      </c>
      <c r="X124" s="37">
        <f t="shared" si="21"/>
        <v>0</v>
      </c>
      <c r="Y124" s="37">
        <f t="shared" si="21"/>
        <v>0</v>
      </c>
      <c r="Z124" s="37">
        <f t="shared" si="21"/>
        <v>0</v>
      </c>
      <c r="AA124" s="37">
        <f t="shared" si="21"/>
        <v>0</v>
      </c>
      <c r="AB124" s="64">
        <f t="shared" si="19"/>
        <v>0</v>
      </c>
    </row>
    <row r="125" spans="1:28">
      <c r="A125" s="231">
        <v>1049</v>
      </c>
      <c r="B125" s="4">
        <v>103145</v>
      </c>
      <c r="C125" s="4" t="s">
        <v>735</v>
      </c>
      <c r="D125" s="4" t="s">
        <v>736</v>
      </c>
      <c r="E125" s="4" t="s">
        <v>180</v>
      </c>
      <c r="F125" s="232" t="s">
        <v>411</v>
      </c>
      <c r="H125" s="212">
        <v>0</v>
      </c>
      <c r="I125" s="212"/>
      <c r="J125" s="212"/>
      <c r="K125" s="212">
        <v>18890</v>
      </c>
      <c r="L125" s="212"/>
      <c r="M125" s="212"/>
      <c r="N125" s="212">
        <v>0</v>
      </c>
      <c r="O125" s="212">
        <v>0</v>
      </c>
      <c r="P125" s="212">
        <v>0</v>
      </c>
      <c r="Q125" s="229">
        <f t="shared" si="18"/>
        <v>18890</v>
      </c>
      <c r="S125" s="37">
        <f t="shared" si="21"/>
        <v>0</v>
      </c>
      <c r="T125" s="37">
        <f t="shared" si="21"/>
        <v>0</v>
      </c>
      <c r="U125" s="37">
        <f t="shared" si="21"/>
        <v>0</v>
      </c>
      <c r="V125" s="37">
        <f t="shared" si="21"/>
        <v>0</v>
      </c>
      <c r="W125" s="37">
        <f t="shared" si="21"/>
        <v>0</v>
      </c>
      <c r="X125" s="37">
        <f t="shared" si="21"/>
        <v>0</v>
      </c>
      <c r="Y125" s="37">
        <f t="shared" si="21"/>
        <v>0</v>
      </c>
      <c r="Z125" s="37">
        <f t="shared" si="21"/>
        <v>0</v>
      </c>
      <c r="AA125" s="37">
        <f t="shared" si="21"/>
        <v>0</v>
      </c>
      <c r="AB125" s="64">
        <f t="shared" si="19"/>
        <v>0</v>
      </c>
    </row>
    <row r="126" spans="1:28">
      <c r="A126" s="231">
        <v>2149</v>
      </c>
      <c r="B126" s="4">
        <v>103240</v>
      </c>
      <c r="C126" s="4" t="s">
        <v>738</v>
      </c>
      <c r="D126" s="4" t="s">
        <v>739</v>
      </c>
      <c r="E126" s="4" t="s">
        <v>5</v>
      </c>
      <c r="F126" s="232" t="s">
        <v>411</v>
      </c>
      <c r="H126" s="212">
        <v>0</v>
      </c>
      <c r="I126" s="212"/>
      <c r="J126" s="212"/>
      <c r="K126" s="212">
        <v>18200</v>
      </c>
      <c r="L126" s="212"/>
      <c r="M126" s="212"/>
      <c r="N126" s="212">
        <v>0</v>
      </c>
      <c r="O126" s="212">
        <v>0</v>
      </c>
      <c r="P126" s="212">
        <v>0</v>
      </c>
      <c r="Q126" s="229">
        <f t="shared" si="18"/>
        <v>18200</v>
      </c>
      <c r="S126" s="37">
        <f t="shared" si="21"/>
        <v>0</v>
      </c>
      <c r="T126" s="37">
        <f t="shared" si="21"/>
        <v>0</v>
      </c>
      <c r="U126" s="37">
        <f t="shared" si="21"/>
        <v>0</v>
      </c>
      <c r="V126" s="37">
        <f t="shared" si="21"/>
        <v>0</v>
      </c>
      <c r="W126" s="37">
        <f t="shared" si="21"/>
        <v>0</v>
      </c>
      <c r="X126" s="37">
        <f t="shared" si="21"/>
        <v>0</v>
      </c>
      <c r="Y126" s="37">
        <f t="shared" si="21"/>
        <v>0</v>
      </c>
      <c r="Z126" s="37">
        <f t="shared" si="21"/>
        <v>0</v>
      </c>
      <c r="AA126" s="37">
        <f t="shared" si="21"/>
        <v>0</v>
      </c>
      <c r="AB126" s="64">
        <f t="shared" si="19"/>
        <v>0</v>
      </c>
    </row>
    <row r="127" spans="1:28">
      <c r="A127" s="231">
        <v>2150</v>
      </c>
      <c r="B127" s="4">
        <v>103241</v>
      </c>
      <c r="C127" s="4" t="s">
        <v>741</v>
      </c>
      <c r="D127" s="4" t="s">
        <v>742</v>
      </c>
      <c r="E127" s="4" t="s">
        <v>5</v>
      </c>
      <c r="F127" s="232" t="s">
        <v>411</v>
      </c>
      <c r="H127" s="212">
        <v>0</v>
      </c>
      <c r="I127" s="212"/>
      <c r="J127" s="212"/>
      <c r="K127" s="212">
        <v>20920</v>
      </c>
      <c r="L127" s="212"/>
      <c r="M127" s="212"/>
      <c r="N127" s="212">
        <v>0</v>
      </c>
      <c r="O127" s="212">
        <v>0</v>
      </c>
      <c r="P127" s="212">
        <v>0</v>
      </c>
      <c r="Q127" s="229">
        <f t="shared" si="18"/>
        <v>20920</v>
      </c>
      <c r="S127" s="37">
        <f t="shared" si="21"/>
        <v>0</v>
      </c>
      <c r="T127" s="37">
        <f t="shared" si="21"/>
        <v>0</v>
      </c>
      <c r="U127" s="37">
        <f t="shared" si="21"/>
        <v>0</v>
      </c>
      <c r="V127" s="37">
        <f t="shared" si="21"/>
        <v>0</v>
      </c>
      <c r="W127" s="37">
        <f t="shared" si="21"/>
        <v>0</v>
      </c>
      <c r="X127" s="37">
        <f t="shared" si="21"/>
        <v>0</v>
      </c>
      <c r="Y127" s="37">
        <f t="shared" si="21"/>
        <v>0</v>
      </c>
      <c r="Z127" s="37">
        <f t="shared" si="21"/>
        <v>0</v>
      </c>
      <c r="AA127" s="37">
        <f t="shared" si="21"/>
        <v>0</v>
      </c>
      <c r="AB127" s="64">
        <f t="shared" si="19"/>
        <v>0</v>
      </c>
    </row>
    <row r="128" spans="1:28">
      <c r="A128" s="231">
        <v>2425</v>
      </c>
      <c r="B128" s="4">
        <v>103356</v>
      </c>
      <c r="C128" s="4" t="s">
        <v>744</v>
      </c>
      <c r="D128" s="4" t="s">
        <v>745</v>
      </c>
      <c r="E128" s="4" t="s">
        <v>5</v>
      </c>
      <c r="F128" s="232" t="s">
        <v>411</v>
      </c>
      <c r="H128" s="212">
        <v>0</v>
      </c>
      <c r="I128" s="212"/>
      <c r="J128" s="212"/>
      <c r="K128" s="212">
        <v>25275</v>
      </c>
      <c r="L128" s="212"/>
      <c r="M128" s="212"/>
      <c r="N128" s="212">
        <v>0</v>
      </c>
      <c r="O128" s="212">
        <v>0</v>
      </c>
      <c r="P128" s="212">
        <v>0</v>
      </c>
      <c r="Q128" s="229">
        <f t="shared" si="18"/>
        <v>25275</v>
      </c>
      <c r="S128" s="37">
        <f t="shared" si="21"/>
        <v>0</v>
      </c>
      <c r="T128" s="37">
        <f t="shared" si="21"/>
        <v>0</v>
      </c>
      <c r="U128" s="37">
        <f t="shared" si="21"/>
        <v>0</v>
      </c>
      <c r="V128" s="37">
        <f t="shared" si="21"/>
        <v>0</v>
      </c>
      <c r="W128" s="37">
        <f t="shared" si="21"/>
        <v>0</v>
      </c>
      <c r="X128" s="37">
        <f t="shared" si="21"/>
        <v>0</v>
      </c>
      <c r="Y128" s="37">
        <f t="shared" si="21"/>
        <v>0</v>
      </c>
      <c r="Z128" s="37">
        <f t="shared" si="21"/>
        <v>0</v>
      </c>
      <c r="AA128" s="37">
        <f t="shared" si="21"/>
        <v>0</v>
      </c>
      <c r="AB128" s="64">
        <f t="shared" si="19"/>
        <v>0</v>
      </c>
    </row>
    <row r="129" spans="1:28">
      <c r="A129" s="231">
        <v>1008</v>
      </c>
      <c r="B129" s="4">
        <v>103123</v>
      </c>
      <c r="C129" s="4" t="s">
        <v>747</v>
      </c>
      <c r="D129" s="4" t="s">
        <v>748</v>
      </c>
      <c r="E129" s="4" t="s">
        <v>180</v>
      </c>
      <c r="F129" s="232" t="s">
        <v>411</v>
      </c>
      <c r="H129" s="212">
        <v>0</v>
      </c>
      <c r="I129" s="212"/>
      <c r="J129" s="212"/>
      <c r="K129" s="212">
        <v>3232.5</v>
      </c>
      <c r="L129" s="212"/>
      <c r="M129" s="212"/>
      <c r="N129" s="212">
        <v>0</v>
      </c>
      <c r="O129" s="212">
        <v>0</v>
      </c>
      <c r="P129" s="212">
        <v>0</v>
      </c>
      <c r="Q129" s="229">
        <f t="shared" si="18"/>
        <v>3232.5</v>
      </c>
      <c r="S129" s="37">
        <f t="shared" si="21"/>
        <v>0</v>
      </c>
      <c r="T129" s="37">
        <f t="shared" si="21"/>
        <v>0</v>
      </c>
      <c r="U129" s="37">
        <f t="shared" si="21"/>
        <v>0</v>
      </c>
      <c r="V129" s="37">
        <f t="shared" si="21"/>
        <v>0</v>
      </c>
      <c r="W129" s="37">
        <f t="shared" si="21"/>
        <v>0</v>
      </c>
      <c r="X129" s="37">
        <f t="shared" si="21"/>
        <v>0</v>
      </c>
      <c r="Y129" s="37">
        <f t="shared" si="21"/>
        <v>0</v>
      </c>
      <c r="Z129" s="37">
        <f t="shared" si="21"/>
        <v>0</v>
      </c>
      <c r="AA129" s="37">
        <f t="shared" si="21"/>
        <v>0</v>
      </c>
      <c r="AB129" s="64">
        <f t="shared" si="19"/>
        <v>0</v>
      </c>
    </row>
    <row r="130" spans="1:28">
      <c r="A130" s="231">
        <v>7034</v>
      </c>
      <c r="B130" s="4">
        <v>103614</v>
      </c>
      <c r="C130" s="4" t="s">
        <v>750</v>
      </c>
      <c r="D130" s="4" t="s">
        <v>751</v>
      </c>
      <c r="E130" s="4" t="s">
        <v>1093</v>
      </c>
      <c r="F130" s="232" t="s">
        <v>411</v>
      </c>
      <c r="H130" s="212">
        <v>25200</v>
      </c>
      <c r="I130" s="212"/>
      <c r="J130" s="212"/>
      <c r="K130" s="212">
        <v>0</v>
      </c>
      <c r="L130" s="212"/>
      <c r="M130" s="212"/>
      <c r="N130" s="212">
        <v>0</v>
      </c>
      <c r="O130" s="212">
        <v>0</v>
      </c>
      <c r="P130" s="212">
        <v>0</v>
      </c>
      <c r="Q130" s="229">
        <f t="shared" si="18"/>
        <v>25200</v>
      </c>
      <c r="S130" s="37">
        <f t="shared" si="21"/>
        <v>0</v>
      </c>
      <c r="T130" s="37">
        <f t="shared" si="21"/>
        <v>0</v>
      </c>
      <c r="U130" s="37">
        <f t="shared" si="21"/>
        <v>0</v>
      </c>
      <c r="V130" s="37">
        <f t="shared" si="21"/>
        <v>0</v>
      </c>
      <c r="W130" s="37">
        <f t="shared" si="21"/>
        <v>0</v>
      </c>
      <c r="X130" s="37">
        <f t="shared" si="21"/>
        <v>0</v>
      </c>
      <c r="Y130" s="37">
        <f t="shared" si="21"/>
        <v>0</v>
      </c>
      <c r="Z130" s="37">
        <f t="shared" si="21"/>
        <v>0</v>
      </c>
      <c r="AA130" s="37">
        <f t="shared" si="21"/>
        <v>0</v>
      </c>
      <c r="AB130" s="64">
        <f t="shared" si="19"/>
        <v>0</v>
      </c>
    </row>
    <row r="131" spans="1:28">
      <c r="A131" s="231">
        <v>2157</v>
      </c>
      <c r="B131" s="4">
        <v>103246</v>
      </c>
      <c r="C131" s="4" t="s">
        <v>753</v>
      </c>
      <c r="D131" s="4" t="s">
        <v>754</v>
      </c>
      <c r="E131" s="4" t="s">
        <v>5</v>
      </c>
      <c r="F131" s="232" t="s">
        <v>411</v>
      </c>
      <c r="H131" s="212">
        <v>0</v>
      </c>
      <c r="I131" s="212"/>
      <c r="J131" s="212"/>
      <c r="K131" s="212">
        <v>17850</v>
      </c>
      <c r="L131" s="212"/>
      <c r="M131" s="212"/>
      <c r="N131" s="212">
        <v>0</v>
      </c>
      <c r="O131" s="212">
        <v>0</v>
      </c>
      <c r="P131" s="212">
        <v>0</v>
      </c>
      <c r="Q131" s="229">
        <f t="shared" si="18"/>
        <v>17850</v>
      </c>
      <c r="S131" s="37">
        <f t="shared" si="21"/>
        <v>0</v>
      </c>
      <c r="T131" s="37">
        <f t="shared" si="21"/>
        <v>0</v>
      </c>
      <c r="U131" s="37">
        <f t="shared" si="21"/>
        <v>0</v>
      </c>
      <c r="V131" s="37">
        <f t="shared" si="21"/>
        <v>0</v>
      </c>
      <c r="W131" s="37">
        <f t="shared" si="21"/>
        <v>0</v>
      </c>
      <c r="X131" s="37">
        <f t="shared" si="21"/>
        <v>0</v>
      </c>
      <c r="Y131" s="37">
        <f t="shared" si="21"/>
        <v>0</v>
      </c>
      <c r="Z131" s="37">
        <f t="shared" si="21"/>
        <v>0</v>
      </c>
      <c r="AA131" s="37">
        <f t="shared" si="21"/>
        <v>0</v>
      </c>
      <c r="AB131" s="64">
        <f t="shared" si="19"/>
        <v>0</v>
      </c>
    </row>
    <row r="132" spans="1:28">
      <c r="A132" s="231">
        <v>2159</v>
      </c>
      <c r="B132" s="4">
        <v>103247</v>
      </c>
      <c r="C132" s="4" t="s">
        <v>756</v>
      </c>
      <c r="D132" s="4" t="s">
        <v>757</v>
      </c>
      <c r="E132" s="4" t="s">
        <v>5</v>
      </c>
      <c r="F132" s="232" t="s">
        <v>411</v>
      </c>
      <c r="H132" s="212">
        <v>0</v>
      </c>
      <c r="I132" s="212"/>
      <c r="J132" s="212"/>
      <c r="K132" s="212">
        <v>26918.33</v>
      </c>
      <c r="L132" s="212"/>
      <c r="M132" s="212"/>
      <c r="N132" s="212">
        <v>0</v>
      </c>
      <c r="O132" s="212">
        <v>0</v>
      </c>
      <c r="P132" s="212">
        <v>0</v>
      </c>
      <c r="Q132" s="229">
        <f t="shared" si="18"/>
        <v>26918.33</v>
      </c>
      <c r="S132" s="37">
        <f t="shared" ref="S132:AA141" si="22">SUMIF($H$3:$P$3,S$6,$H132:$P132)</f>
        <v>0</v>
      </c>
      <c r="T132" s="37">
        <f t="shared" si="22"/>
        <v>0</v>
      </c>
      <c r="U132" s="37">
        <f t="shared" si="22"/>
        <v>0</v>
      </c>
      <c r="V132" s="37">
        <f t="shared" si="22"/>
        <v>0</v>
      </c>
      <c r="W132" s="37">
        <f t="shared" si="22"/>
        <v>0</v>
      </c>
      <c r="X132" s="37">
        <f t="shared" si="22"/>
        <v>0</v>
      </c>
      <c r="Y132" s="37">
        <f t="shared" si="22"/>
        <v>0</v>
      </c>
      <c r="Z132" s="37">
        <f t="shared" si="22"/>
        <v>0</v>
      </c>
      <c r="AA132" s="37">
        <f t="shared" si="22"/>
        <v>0</v>
      </c>
      <c r="AB132" s="64">
        <f t="shared" si="19"/>
        <v>0</v>
      </c>
    </row>
    <row r="133" spans="1:28">
      <c r="A133" s="231">
        <v>2161</v>
      </c>
      <c r="B133" s="4">
        <v>103249</v>
      </c>
      <c r="C133" s="4" t="s">
        <v>759</v>
      </c>
      <c r="D133" s="4" t="s">
        <v>760</v>
      </c>
      <c r="E133" s="4" t="s">
        <v>5</v>
      </c>
      <c r="F133" s="232" t="s">
        <v>411</v>
      </c>
      <c r="H133" s="212">
        <v>0</v>
      </c>
      <c r="I133" s="212"/>
      <c r="J133" s="212"/>
      <c r="K133" s="212">
        <v>29525</v>
      </c>
      <c r="L133" s="212"/>
      <c r="M133" s="212"/>
      <c r="N133" s="212">
        <v>0</v>
      </c>
      <c r="O133" s="212">
        <v>0</v>
      </c>
      <c r="P133" s="212">
        <v>0</v>
      </c>
      <c r="Q133" s="229">
        <f t="shared" si="18"/>
        <v>29525</v>
      </c>
      <c r="S133" s="37">
        <f t="shared" si="22"/>
        <v>0</v>
      </c>
      <c r="T133" s="37">
        <f t="shared" si="22"/>
        <v>0</v>
      </c>
      <c r="U133" s="37">
        <f t="shared" si="22"/>
        <v>0</v>
      </c>
      <c r="V133" s="37">
        <f t="shared" si="22"/>
        <v>0</v>
      </c>
      <c r="W133" s="37">
        <f t="shared" si="22"/>
        <v>0</v>
      </c>
      <c r="X133" s="37">
        <f t="shared" si="22"/>
        <v>0</v>
      </c>
      <c r="Y133" s="37">
        <f t="shared" si="22"/>
        <v>0</v>
      </c>
      <c r="Z133" s="37">
        <f t="shared" si="22"/>
        <v>0</v>
      </c>
      <c r="AA133" s="37">
        <f t="shared" si="22"/>
        <v>0</v>
      </c>
      <c r="AB133" s="64">
        <f t="shared" si="19"/>
        <v>0</v>
      </c>
    </row>
    <row r="134" spans="1:28">
      <c r="A134" s="231">
        <v>1018</v>
      </c>
      <c r="B134" s="4">
        <v>103131</v>
      </c>
      <c r="C134" s="4" t="s">
        <v>762</v>
      </c>
      <c r="D134" s="4" t="s">
        <v>763</v>
      </c>
      <c r="E134" s="4" t="s">
        <v>180</v>
      </c>
      <c r="F134" s="232" t="s">
        <v>411</v>
      </c>
      <c r="H134" s="212">
        <v>0</v>
      </c>
      <c r="I134" s="212"/>
      <c r="J134" s="212"/>
      <c r="K134" s="212">
        <v>17812.5</v>
      </c>
      <c r="L134" s="212"/>
      <c r="M134" s="212"/>
      <c r="N134" s="212">
        <v>0</v>
      </c>
      <c r="O134" s="212">
        <v>0</v>
      </c>
      <c r="P134" s="212">
        <v>0</v>
      </c>
      <c r="Q134" s="229">
        <f t="shared" si="18"/>
        <v>17812.5</v>
      </c>
      <c r="S134" s="37">
        <f t="shared" si="22"/>
        <v>0</v>
      </c>
      <c r="T134" s="37">
        <f t="shared" si="22"/>
        <v>0</v>
      </c>
      <c r="U134" s="37">
        <f t="shared" si="22"/>
        <v>0</v>
      </c>
      <c r="V134" s="37">
        <f t="shared" si="22"/>
        <v>0</v>
      </c>
      <c r="W134" s="37">
        <f t="shared" si="22"/>
        <v>0</v>
      </c>
      <c r="X134" s="37">
        <f t="shared" si="22"/>
        <v>0</v>
      </c>
      <c r="Y134" s="37">
        <f t="shared" si="22"/>
        <v>0</v>
      </c>
      <c r="Z134" s="37">
        <f t="shared" si="22"/>
        <v>0</v>
      </c>
      <c r="AA134" s="37">
        <f t="shared" si="22"/>
        <v>0</v>
      </c>
      <c r="AB134" s="64">
        <f t="shared" si="19"/>
        <v>0</v>
      </c>
    </row>
    <row r="135" spans="1:28">
      <c r="A135" s="231">
        <v>1000</v>
      </c>
      <c r="B135" s="4">
        <v>137796</v>
      </c>
      <c r="C135" s="4" t="s">
        <v>765</v>
      </c>
      <c r="D135" s="4" t="s">
        <v>766</v>
      </c>
      <c r="E135" s="4" t="s">
        <v>180</v>
      </c>
      <c r="F135" s="232" t="s">
        <v>411</v>
      </c>
      <c r="H135" s="212">
        <v>0</v>
      </c>
      <c r="I135" s="212"/>
      <c r="J135" s="212"/>
      <c r="K135" s="212">
        <v>14140</v>
      </c>
      <c r="L135" s="212"/>
      <c r="M135" s="212"/>
      <c r="N135" s="212">
        <v>0</v>
      </c>
      <c r="O135" s="212">
        <v>0</v>
      </c>
      <c r="P135" s="212">
        <v>0</v>
      </c>
      <c r="Q135" s="229">
        <f t="shared" si="18"/>
        <v>14140</v>
      </c>
      <c r="S135" s="37">
        <f t="shared" si="22"/>
        <v>0</v>
      </c>
      <c r="T135" s="37">
        <f t="shared" si="22"/>
        <v>0</v>
      </c>
      <c r="U135" s="37">
        <f t="shared" si="22"/>
        <v>0</v>
      </c>
      <c r="V135" s="37">
        <f t="shared" si="22"/>
        <v>0</v>
      </c>
      <c r="W135" s="37">
        <f t="shared" si="22"/>
        <v>0</v>
      </c>
      <c r="X135" s="37">
        <f t="shared" si="22"/>
        <v>0</v>
      </c>
      <c r="Y135" s="37">
        <f t="shared" si="22"/>
        <v>0</v>
      </c>
      <c r="Z135" s="37">
        <f t="shared" si="22"/>
        <v>0</v>
      </c>
      <c r="AA135" s="37">
        <f t="shared" si="22"/>
        <v>0</v>
      </c>
      <c r="AB135" s="64">
        <f t="shared" si="19"/>
        <v>0</v>
      </c>
    </row>
    <row r="136" spans="1:28">
      <c r="A136" s="231">
        <v>2169</v>
      </c>
      <c r="B136" s="4">
        <v>103252</v>
      </c>
      <c r="C136" s="4" t="s">
        <v>768</v>
      </c>
      <c r="D136" s="4" t="s">
        <v>769</v>
      </c>
      <c r="E136" s="4" t="s">
        <v>5</v>
      </c>
      <c r="F136" s="232" t="s">
        <v>411</v>
      </c>
      <c r="H136" s="212">
        <v>0</v>
      </c>
      <c r="I136" s="212"/>
      <c r="J136" s="212"/>
      <c r="K136" s="212">
        <v>12985</v>
      </c>
      <c r="L136" s="212"/>
      <c r="M136" s="212"/>
      <c r="N136" s="212">
        <v>0</v>
      </c>
      <c r="O136" s="212">
        <v>0</v>
      </c>
      <c r="P136" s="212">
        <v>0</v>
      </c>
      <c r="Q136" s="229">
        <f t="shared" ref="Q136:Q167" si="23">SUM(H136:P136)</f>
        <v>12985</v>
      </c>
      <c r="S136" s="37">
        <f t="shared" si="22"/>
        <v>0</v>
      </c>
      <c r="T136" s="37">
        <f t="shared" si="22"/>
        <v>0</v>
      </c>
      <c r="U136" s="37">
        <f t="shared" si="22"/>
        <v>0</v>
      </c>
      <c r="V136" s="37">
        <f t="shared" si="22"/>
        <v>0</v>
      </c>
      <c r="W136" s="37">
        <f t="shared" si="22"/>
        <v>0</v>
      </c>
      <c r="X136" s="37">
        <f t="shared" si="22"/>
        <v>0</v>
      </c>
      <c r="Y136" s="37">
        <f t="shared" si="22"/>
        <v>0</v>
      </c>
      <c r="Z136" s="37">
        <f t="shared" si="22"/>
        <v>0</v>
      </c>
      <c r="AA136" s="37">
        <f t="shared" si="22"/>
        <v>0</v>
      </c>
      <c r="AB136" s="64">
        <f t="shared" ref="AB136:AB167" si="24">SUM(H136:P136)-Q136</f>
        <v>0</v>
      </c>
    </row>
    <row r="137" spans="1:28">
      <c r="A137" s="231">
        <v>7047</v>
      </c>
      <c r="B137" s="4">
        <v>103623</v>
      </c>
      <c r="C137" s="4" t="s">
        <v>771</v>
      </c>
      <c r="D137" s="4" t="s">
        <v>772</v>
      </c>
      <c r="E137" s="4" t="s">
        <v>1093</v>
      </c>
      <c r="F137" s="232" t="s">
        <v>411</v>
      </c>
      <c r="H137" s="212">
        <v>57750</v>
      </c>
      <c r="I137" s="212"/>
      <c r="J137" s="212"/>
      <c r="K137" s="212">
        <v>0</v>
      </c>
      <c r="L137" s="212"/>
      <c r="M137" s="212"/>
      <c r="N137" s="212">
        <v>0</v>
      </c>
      <c r="O137" s="212">
        <v>0</v>
      </c>
      <c r="P137" s="212">
        <v>0</v>
      </c>
      <c r="Q137" s="229">
        <f t="shared" si="23"/>
        <v>57750</v>
      </c>
      <c r="S137" s="37">
        <f t="shared" si="22"/>
        <v>0</v>
      </c>
      <c r="T137" s="37">
        <f t="shared" si="22"/>
        <v>0</v>
      </c>
      <c r="U137" s="37">
        <f t="shared" si="22"/>
        <v>0</v>
      </c>
      <c r="V137" s="37">
        <f t="shared" si="22"/>
        <v>0</v>
      </c>
      <c r="W137" s="37">
        <f t="shared" si="22"/>
        <v>0</v>
      </c>
      <c r="X137" s="37">
        <f t="shared" si="22"/>
        <v>0</v>
      </c>
      <c r="Y137" s="37">
        <f t="shared" si="22"/>
        <v>0</v>
      </c>
      <c r="Z137" s="37">
        <f t="shared" si="22"/>
        <v>0</v>
      </c>
      <c r="AA137" s="37">
        <f t="shared" si="22"/>
        <v>0</v>
      </c>
      <c r="AB137" s="64">
        <f t="shared" si="24"/>
        <v>0</v>
      </c>
    </row>
    <row r="138" spans="1:28">
      <c r="A138" s="231">
        <v>3381</v>
      </c>
      <c r="B138" s="4">
        <v>103466</v>
      </c>
      <c r="C138" s="4" t="s">
        <v>774</v>
      </c>
      <c r="D138" s="4" t="s">
        <v>775</v>
      </c>
      <c r="E138" s="4" t="s">
        <v>5</v>
      </c>
      <c r="F138" s="232" t="s">
        <v>411</v>
      </c>
      <c r="H138" s="212">
        <v>0</v>
      </c>
      <c r="I138" s="212"/>
      <c r="J138" s="212"/>
      <c r="K138" s="212">
        <v>12505</v>
      </c>
      <c r="L138" s="212"/>
      <c r="M138" s="212"/>
      <c r="N138" s="212">
        <v>0</v>
      </c>
      <c r="O138" s="212">
        <v>0</v>
      </c>
      <c r="P138" s="212">
        <v>0</v>
      </c>
      <c r="Q138" s="229">
        <f t="shared" si="23"/>
        <v>12505</v>
      </c>
      <c r="S138" s="37">
        <f t="shared" si="22"/>
        <v>0</v>
      </c>
      <c r="T138" s="37">
        <f t="shared" si="22"/>
        <v>0</v>
      </c>
      <c r="U138" s="37">
        <f t="shared" si="22"/>
        <v>0</v>
      </c>
      <c r="V138" s="37">
        <f t="shared" si="22"/>
        <v>0</v>
      </c>
      <c r="W138" s="37">
        <f t="shared" si="22"/>
        <v>0</v>
      </c>
      <c r="X138" s="37">
        <f t="shared" si="22"/>
        <v>0</v>
      </c>
      <c r="Y138" s="37">
        <f t="shared" si="22"/>
        <v>0</v>
      </c>
      <c r="Z138" s="37">
        <f t="shared" si="22"/>
        <v>0</v>
      </c>
      <c r="AA138" s="37">
        <f t="shared" si="22"/>
        <v>0</v>
      </c>
      <c r="AB138" s="64">
        <f t="shared" si="24"/>
        <v>0</v>
      </c>
    </row>
    <row r="139" spans="1:28">
      <c r="A139" s="231">
        <v>3329</v>
      </c>
      <c r="B139" s="4">
        <v>103431</v>
      </c>
      <c r="C139" s="4" t="s">
        <v>777</v>
      </c>
      <c r="D139" s="4" t="s">
        <v>778</v>
      </c>
      <c r="E139" s="4" t="s">
        <v>5</v>
      </c>
      <c r="F139" s="232" t="s">
        <v>411</v>
      </c>
      <c r="H139" s="212">
        <v>0</v>
      </c>
      <c r="I139" s="212"/>
      <c r="J139" s="212"/>
      <c r="K139" s="212">
        <v>25760</v>
      </c>
      <c r="L139" s="212"/>
      <c r="M139" s="212"/>
      <c r="N139" s="212">
        <v>0</v>
      </c>
      <c r="O139" s="212">
        <v>0</v>
      </c>
      <c r="P139" s="212">
        <v>0</v>
      </c>
      <c r="Q139" s="229">
        <f t="shared" si="23"/>
        <v>25760</v>
      </c>
      <c r="S139" s="37">
        <f t="shared" si="22"/>
        <v>0</v>
      </c>
      <c r="T139" s="37">
        <f t="shared" si="22"/>
        <v>0</v>
      </c>
      <c r="U139" s="37">
        <f t="shared" si="22"/>
        <v>0</v>
      </c>
      <c r="V139" s="37">
        <f t="shared" si="22"/>
        <v>0</v>
      </c>
      <c r="W139" s="37">
        <f t="shared" si="22"/>
        <v>0</v>
      </c>
      <c r="X139" s="37">
        <f t="shared" si="22"/>
        <v>0</v>
      </c>
      <c r="Y139" s="37">
        <f t="shared" si="22"/>
        <v>0</v>
      </c>
      <c r="Z139" s="37">
        <f t="shared" si="22"/>
        <v>0</v>
      </c>
      <c r="AA139" s="37">
        <f t="shared" si="22"/>
        <v>0</v>
      </c>
      <c r="AB139" s="64">
        <f t="shared" si="24"/>
        <v>0</v>
      </c>
    </row>
    <row r="140" spans="1:28">
      <c r="A140" s="231">
        <v>2183</v>
      </c>
      <c r="B140" s="4">
        <v>103261</v>
      </c>
      <c r="C140" s="4" t="s">
        <v>780</v>
      </c>
      <c r="D140" s="4" t="s">
        <v>781</v>
      </c>
      <c r="E140" s="4" t="s">
        <v>5</v>
      </c>
      <c r="F140" s="232" t="s">
        <v>411</v>
      </c>
      <c r="H140" s="212">
        <v>0</v>
      </c>
      <c r="I140" s="212"/>
      <c r="J140" s="212"/>
      <c r="K140" s="212">
        <v>28404.25</v>
      </c>
      <c r="L140" s="212"/>
      <c r="M140" s="212"/>
      <c r="N140" s="212">
        <v>0</v>
      </c>
      <c r="O140" s="212">
        <v>0</v>
      </c>
      <c r="P140" s="212">
        <v>121533.00000000003</v>
      </c>
      <c r="Q140" s="229">
        <f t="shared" si="23"/>
        <v>149937.25000000003</v>
      </c>
      <c r="S140" s="37">
        <f t="shared" si="22"/>
        <v>121533.00000000003</v>
      </c>
      <c r="T140" s="37">
        <f t="shared" si="22"/>
        <v>0</v>
      </c>
      <c r="U140" s="37">
        <f t="shared" si="22"/>
        <v>0</v>
      </c>
      <c r="V140" s="37">
        <f t="shared" si="22"/>
        <v>0</v>
      </c>
      <c r="W140" s="37">
        <f t="shared" si="22"/>
        <v>0</v>
      </c>
      <c r="X140" s="37">
        <f t="shared" si="22"/>
        <v>0</v>
      </c>
      <c r="Y140" s="37">
        <f t="shared" si="22"/>
        <v>0</v>
      </c>
      <c r="Z140" s="37">
        <f t="shared" si="22"/>
        <v>0</v>
      </c>
      <c r="AA140" s="37">
        <f t="shared" si="22"/>
        <v>0</v>
      </c>
      <c r="AB140" s="64">
        <f t="shared" si="24"/>
        <v>0</v>
      </c>
    </row>
    <row r="141" spans="1:28">
      <c r="A141" s="231">
        <v>3331</v>
      </c>
      <c r="B141" s="4">
        <v>103433</v>
      </c>
      <c r="C141" s="4" t="s">
        <v>786</v>
      </c>
      <c r="D141" s="4" t="s">
        <v>787</v>
      </c>
      <c r="E141" s="4" t="s">
        <v>5</v>
      </c>
      <c r="F141" s="232" t="s">
        <v>411</v>
      </c>
      <c r="H141" s="212">
        <v>0</v>
      </c>
      <c r="I141" s="212"/>
      <c r="J141" s="212"/>
      <c r="K141" s="212">
        <v>5845</v>
      </c>
      <c r="L141" s="212"/>
      <c r="M141" s="212"/>
      <c r="N141" s="212">
        <v>0</v>
      </c>
      <c r="O141" s="212">
        <v>0</v>
      </c>
      <c r="P141" s="212">
        <v>0</v>
      </c>
      <c r="Q141" s="229">
        <f t="shared" si="23"/>
        <v>5845</v>
      </c>
      <c r="S141" s="37">
        <f t="shared" si="22"/>
        <v>0</v>
      </c>
      <c r="T141" s="37">
        <f t="shared" si="22"/>
        <v>0</v>
      </c>
      <c r="U141" s="37">
        <f t="shared" si="22"/>
        <v>0</v>
      </c>
      <c r="V141" s="37">
        <f t="shared" si="22"/>
        <v>0</v>
      </c>
      <c r="W141" s="37">
        <f t="shared" si="22"/>
        <v>0</v>
      </c>
      <c r="X141" s="37">
        <f t="shared" si="22"/>
        <v>0</v>
      </c>
      <c r="Y141" s="37">
        <f t="shared" si="22"/>
        <v>0</v>
      </c>
      <c r="Z141" s="37">
        <f t="shared" si="22"/>
        <v>0</v>
      </c>
      <c r="AA141" s="37">
        <f t="shared" si="22"/>
        <v>0</v>
      </c>
      <c r="AB141" s="64">
        <f t="shared" si="24"/>
        <v>0</v>
      </c>
    </row>
    <row r="142" spans="1:28">
      <c r="A142" s="231">
        <v>3406</v>
      </c>
      <c r="B142" s="4">
        <v>103476</v>
      </c>
      <c r="C142" s="4" t="s">
        <v>789</v>
      </c>
      <c r="D142" s="4" t="s">
        <v>790</v>
      </c>
      <c r="E142" s="4" t="s">
        <v>5</v>
      </c>
      <c r="F142" s="232" t="s">
        <v>411</v>
      </c>
      <c r="H142" s="212">
        <v>0</v>
      </c>
      <c r="I142" s="212"/>
      <c r="J142" s="212"/>
      <c r="K142" s="212">
        <v>5162.5</v>
      </c>
      <c r="L142" s="212"/>
      <c r="M142" s="212"/>
      <c r="N142" s="212">
        <v>0</v>
      </c>
      <c r="O142" s="212">
        <v>0</v>
      </c>
      <c r="P142" s="212">
        <v>82213.5</v>
      </c>
      <c r="Q142" s="229">
        <f t="shared" si="23"/>
        <v>87376</v>
      </c>
      <c r="S142" s="37">
        <f t="shared" ref="S142:AA151" si="25">SUMIF($H$3:$P$3,S$6,$H142:$P142)</f>
        <v>82213.5</v>
      </c>
      <c r="T142" s="37">
        <f t="shared" si="25"/>
        <v>0</v>
      </c>
      <c r="U142" s="37">
        <f t="shared" si="25"/>
        <v>0</v>
      </c>
      <c r="V142" s="37">
        <f t="shared" si="25"/>
        <v>0</v>
      </c>
      <c r="W142" s="37">
        <f t="shared" si="25"/>
        <v>0</v>
      </c>
      <c r="X142" s="37">
        <f t="shared" si="25"/>
        <v>0</v>
      </c>
      <c r="Y142" s="37">
        <f t="shared" si="25"/>
        <v>0</v>
      </c>
      <c r="Z142" s="37">
        <f t="shared" si="25"/>
        <v>0</v>
      </c>
      <c r="AA142" s="37">
        <f t="shared" si="25"/>
        <v>0</v>
      </c>
      <c r="AB142" s="64">
        <f t="shared" si="24"/>
        <v>0</v>
      </c>
    </row>
    <row r="143" spans="1:28">
      <c r="A143" s="231">
        <v>3386</v>
      </c>
      <c r="B143" s="4">
        <v>103470</v>
      </c>
      <c r="C143" s="4" t="s">
        <v>792</v>
      </c>
      <c r="D143" s="4" t="s">
        <v>793</v>
      </c>
      <c r="E143" s="4" t="s">
        <v>5</v>
      </c>
      <c r="F143" s="232" t="s">
        <v>411</v>
      </c>
      <c r="H143" s="212">
        <v>0</v>
      </c>
      <c r="I143" s="212"/>
      <c r="J143" s="212"/>
      <c r="K143" s="212">
        <v>41850</v>
      </c>
      <c r="L143" s="212"/>
      <c r="M143" s="212"/>
      <c r="N143" s="212">
        <v>0</v>
      </c>
      <c r="O143" s="212">
        <v>0</v>
      </c>
      <c r="P143" s="212">
        <v>0</v>
      </c>
      <c r="Q143" s="229">
        <f t="shared" si="23"/>
        <v>41850</v>
      </c>
      <c r="S143" s="37">
        <f t="shared" si="25"/>
        <v>0</v>
      </c>
      <c r="T143" s="37">
        <f t="shared" si="25"/>
        <v>0</v>
      </c>
      <c r="U143" s="37">
        <f t="shared" si="25"/>
        <v>0</v>
      </c>
      <c r="V143" s="37">
        <f t="shared" si="25"/>
        <v>0</v>
      </c>
      <c r="W143" s="37">
        <f t="shared" si="25"/>
        <v>0</v>
      </c>
      <c r="X143" s="37">
        <f t="shared" si="25"/>
        <v>0</v>
      </c>
      <c r="Y143" s="37">
        <f t="shared" si="25"/>
        <v>0</v>
      </c>
      <c r="Z143" s="37">
        <f t="shared" si="25"/>
        <v>0</v>
      </c>
      <c r="AA143" s="37">
        <f t="shared" si="25"/>
        <v>0</v>
      </c>
      <c r="AB143" s="64">
        <f t="shared" si="24"/>
        <v>0</v>
      </c>
    </row>
    <row r="144" spans="1:28">
      <c r="A144" s="231">
        <v>3342</v>
      </c>
      <c r="B144" s="4">
        <v>103437</v>
      </c>
      <c r="C144" s="4" t="s">
        <v>795</v>
      </c>
      <c r="D144" s="4" t="s">
        <v>796</v>
      </c>
      <c r="E144" s="4" t="s">
        <v>5</v>
      </c>
      <c r="F144" s="232" t="s">
        <v>411</v>
      </c>
      <c r="H144" s="212">
        <v>0</v>
      </c>
      <c r="I144" s="212"/>
      <c r="J144" s="212"/>
      <c r="K144" s="212">
        <v>22680</v>
      </c>
      <c r="L144" s="212"/>
      <c r="M144" s="212"/>
      <c r="N144" s="212">
        <v>0</v>
      </c>
      <c r="O144" s="212">
        <v>0</v>
      </c>
      <c r="P144" s="212">
        <v>0</v>
      </c>
      <c r="Q144" s="229">
        <f t="shared" si="23"/>
        <v>22680</v>
      </c>
      <c r="S144" s="37">
        <f t="shared" si="25"/>
        <v>0</v>
      </c>
      <c r="T144" s="37">
        <f t="shared" si="25"/>
        <v>0</v>
      </c>
      <c r="U144" s="37">
        <f t="shared" si="25"/>
        <v>0</v>
      </c>
      <c r="V144" s="37">
        <f t="shared" si="25"/>
        <v>0</v>
      </c>
      <c r="W144" s="37">
        <f t="shared" si="25"/>
        <v>0</v>
      </c>
      <c r="X144" s="37">
        <f t="shared" si="25"/>
        <v>0</v>
      </c>
      <c r="Y144" s="37">
        <f t="shared" si="25"/>
        <v>0</v>
      </c>
      <c r="Z144" s="37">
        <f t="shared" si="25"/>
        <v>0</v>
      </c>
      <c r="AA144" s="37">
        <f t="shared" si="25"/>
        <v>0</v>
      </c>
      <c r="AB144" s="64">
        <f t="shared" si="24"/>
        <v>0</v>
      </c>
    </row>
    <row r="145" spans="1:28">
      <c r="A145" s="231">
        <v>3010</v>
      </c>
      <c r="B145" s="4">
        <v>103401</v>
      </c>
      <c r="C145" s="4" t="s">
        <v>798</v>
      </c>
      <c r="D145" s="4" t="s">
        <v>799</v>
      </c>
      <c r="E145" s="4" t="s">
        <v>5</v>
      </c>
      <c r="F145" s="232" t="s">
        <v>411</v>
      </c>
      <c r="H145" s="212">
        <v>0</v>
      </c>
      <c r="I145" s="212"/>
      <c r="J145" s="212"/>
      <c r="K145" s="212">
        <v>34000</v>
      </c>
      <c r="L145" s="212"/>
      <c r="M145" s="212"/>
      <c r="N145" s="212">
        <v>0</v>
      </c>
      <c r="O145" s="212">
        <v>0</v>
      </c>
      <c r="P145" s="212">
        <v>0</v>
      </c>
      <c r="Q145" s="229">
        <f t="shared" si="23"/>
        <v>34000</v>
      </c>
      <c r="S145" s="37">
        <f t="shared" si="25"/>
        <v>0</v>
      </c>
      <c r="T145" s="37">
        <f t="shared" si="25"/>
        <v>0</v>
      </c>
      <c r="U145" s="37">
        <f t="shared" si="25"/>
        <v>0</v>
      </c>
      <c r="V145" s="37">
        <f t="shared" si="25"/>
        <v>0</v>
      </c>
      <c r="W145" s="37">
        <f t="shared" si="25"/>
        <v>0</v>
      </c>
      <c r="X145" s="37">
        <f t="shared" si="25"/>
        <v>0</v>
      </c>
      <c r="Y145" s="37">
        <f t="shared" si="25"/>
        <v>0</v>
      </c>
      <c r="Z145" s="37">
        <f t="shared" si="25"/>
        <v>0</v>
      </c>
      <c r="AA145" s="37">
        <f t="shared" si="25"/>
        <v>0</v>
      </c>
      <c r="AB145" s="64">
        <f t="shared" si="24"/>
        <v>0</v>
      </c>
    </row>
    <row r="146" spans="1:28">
      <c r="A146" s="231">
        <v>4625</v>
      </c>
      <c r="B146" s="4">
        <v>103534</v>
      </c>
      <c r="C146" s="4" t="s">
        <v>801</v>
      </c>
      <c r="D146" s="4" t="s">
        <v>802</v>
      </c>
      <c r="E146" s="4" t="s">
        <v>6</v>
      </c>
      <c r="F146" s="232" t="s">
        <v>411</v>
      </c>
      <c r="H146" s="212">
        <v>0</v>
      </c>
      <c r="I146" s="212"/>
      <c r="J146" s="212"/>
      <c r="K146" s="212">
        <v>23925</v>
      </c>
      <c r="L146" s="212"/>
      <c r="M146" s="212"/>
      <c r="N146" s="212">
        <v>41996.916666666672</v>
      </c>
      <c r="O146" s="212">
        <v>0</v>
      </c>
      <c r="P146" s="212">
        <v>0</v>
      </c>
      <c r="Q146" s="229">
        <f t="shared" si="23"/>
        <v>65921.916666666672</v>
      </c>
      <c r="S146" s="37">
        <f t="shared" si="25"/>
        <v>41996.916666666672</v>
      </c>
      <c r="T146" s="37">
        <f t="shared" si="25"/>
        <v>0</v>
      </c>
      <c r="U146" s="37">
        <f t="shared" si="25"/>
        <v>0</v>
      </c>
      <c r="V146" s="37">
        <f t="shared" si="25"/>
        <v>0</v>
      </c>
      <c r="W146" s="37">
        <f t="shared" si="25"/>
        <v>0</v>
      </c>
      <c r="X146" s="37">
        <f t="shared" si="25"/>
        <v>0</v>
      </c>
      <c r="Y146" s="37">
        <f t="shared" si="25"/>
        <v>0</v>
      </c>
      <c r="Z146" s="37">
        <f t="shared" si="25"/>
        <v>0</v>
      </c>
      <c r="AA146" s="37">
        <f t="shared" si="25"/>
        <v>0</v>
      </c>
      <c r="AB146" s="64">
        <f t="shared" si="24"/>
        <v>0</v>
      </c>
    </row>
    <row r="147" spans="1:28">
      <c r="A147" s="231">
        <v>3307</v>
      </c>
      <c r="B147" s="4">
        <v>103416</v>
      </c>
      <c r="C147" s="4" t="s">
        <v>804</v>
      </c>
      <c r="D147" s="4" t="s">
        <v>805</v>
      </c>
      <c r="E147" s="4" t="s">
        <v>5</v>
      </c>
      <c r="F147" s="232" t="s">
        <v>411</v>
      </c>
      <c r="H147" s="212">
        <v>0</v>
      </c>
      <c r="I147" s="212"/>
      <c r="J147" s="212"/>
      <c r="K147" s="212">
        <v>42689.17</v>
      </c>
      <c r="L147" s="212"/>
      <c r="M147" s="212"/>
      <c r="N147" s="212">
        <v>0</v>
      </c>
      <c r="O147" s="212">
        <v>0</v>
      </c>
      <c r="P147" s="212">
        <v>0</v>
      </c>
      <c r="Q147" s="229">
        <f t="shared" si="23"/>
        <v>42689.17</v>
      </c>
      <c r="S147" s="37">
        <f t="shared" si="25"/>
        <v>0</v>
      </c>
      <c r="T147" s="37">
        <f t="shared" si="25"/>
        <v>0</v>
      </c>
      <c r="U147" s="37">
        <f t="shared" si="25"/>
        <v>0</v>
      </c>
      <c r="V147" s="37">
        <f t="shared" si="25"/>
        <v>0</v>
      </c>
      <c r="W147" s="37">
        <f t="shared" si="25"/>
        <v>0</v>
      </c>
      <c r="X147" s="37">
        <f t="shared" si="25"/>
        <v>0</v>
      </c>
      <c r="Y147" s="37">
        <f t="shared" si="25"/>
        <v>0</v>
      </c>
      <c r="Z147" s="37">
        <f t="shared" si="25"/>
        <v>0</v>
      </c>
      <c r="AA147" s="37">
        <f t="shared" si="25"/>
        <v>0</v>
      </c>
      <c r="AB147" s="64">
        <f t="shared" si="24"/>
        <v>0</v>
      </c>
    </row>
    <row r="148" spans="1:28">
      <c r="A148" s="231">
        <v>3382</v>
      </c>
      <c r="B148" s="4">
        <v>103467</v>
      </c>
      <c r="C148" s="4" t="s">
        <v>807</v>
      </c>
      <c r="D148" s="4" t="s">
        <v>808</v>
      </c>
      <c r="E148" s="4" t="s">
        <v>5</v>
      </c>
      <c r="F148" s="232" t="s">
        <v>411</v>
      </c>
      <c r="H148" s="212">
        <v>0</v>
      </c>
      <c r="I148" s="212"/>
      <c r="J148" s="212"/>
      <c r="K148" s="212">
        <v>9802.5</v>
      </c>
      <c r="L148" s="212"/>
      <c r="M148" s="212"/>
      <c r="N148" s="212">
        <v>0</v>
      </c>
      <c r="O148" s="212">
        <v>0</v>
      </c>
      <c r="P148" s="212">
        <v>0</v>
      </c>
      <c r="Q148" s="229">
        <f t="shared" si="23"/>
        <v>9802.5</v>
      </c>
      <c r="S148" s="37">
        <f t="shared" si="25"/>
        <v>0</v>
      </c>
      <c r="T148" s="37">
        <f t="shared" si="25"/>
        <v>0</v>
      </c>
      <c r="U148" s="37">
        <f t="shared" si="25"/>
        <v>0</v>
      </c>
      <c r="V148" s="37">
        <f t="shared" si="25"/>
        <v>0</v>
      </c>
      <c r="W148" s="37">
        <f t="shared" si="25"/>
        <v>0</v>
      </c>
      <c r="X148" s="37">
        <f t="shared" si="25"/>
        <v>0</v>
      </c>
      <c r="Y148" s="37">
        <f t="shared" si="25"/>
        <v>0</v>
      </c>
      <c r="Z148" s="37">
        <f t="shared" si="25"/>
        <v>0</v>
      </c>
      <c r="AA148" s="37">
        <f t="shared" si="25"/>
        <v>0</v>
      </c>
      <c r="AB148" s="64">
        <f t="shared" si="24"/>
        <v>0</v>
      </c>
    </row>
    <row r="149" spans="1:28">
      <c r="A149" s="231">
        <v>3025</v>
      </c>
      <c r="B149" s="4">
        <v>103410</v>
      </c>
      <c r="C149" s="4" t="s">
        <v>810</v>
      </c>
      <c r="D149" s="4" t="s">
        <v>157</v>
      </c>
      <c r="E149" s="4" t="s">
        <v>5</v>
      </c>
      <c r="F149" s="232" t="s">
        <v>411</v>
      </c>
      <c r="H149" s="212">
        <v>0</v>
      </c>
      <c r="I149" s="212"/>
      <c r="J149" s="212"/>
      <c r="K149" s="212">
        <v>64280</v>
      </c>
      <c r="L149" s="212"/>
      <c r="M149" s="212"/>
      <c r="N149" s="212">
        <v>0</v>
      </c>
      <c r="O149" s="212">
        <v>0</v>
      </c>
      <c r="P149" s="212">
        <v>0</v>
      </c>
      <c r="Q149" s="229">
        <f t="shared" si="23"/>
        <v>64280</v>
      </c>
      <c r="S149" s="37">
        <f t="shared" si="25"/>
        <v>0</v>
      </c>
      <c r="T149" s="37">
        <f t="shared" si="25"/>
        <v>0</v>
      </c>
      <c r="U149" s="37">
        <f t="shared" si="25"/>
        <v>0</v>
      </c>
      <c r="V149" s="37">
        <f t="shared" si="25"/>
        <v>0</v>
      </c>
      <c r="W149" s="37">
        <f t="shared" si="25"/>
        <v>0</v>
      </c>
      <c r="X149" s="37">
        <f t="shared" si="25"/>
        <v>0</v>
      </c>
      <c r="Y149" s="37">
        <f t="shared" si="25"/>
        <v>0</v>
      </c>
      <c r="Z149" s="37">
        <f t="shared" si="25"/>
        <v>0</v>
      </c>
      <c r="AA149" s="37">
        <f t="shared" si="25"/>
        <v>0</v>
      </c>
      <c r="AB149" s="64">
        <f t="shared" si="24"/>
        <v>0</v>
      </c>
    </row>
    <row r="150" spans="1:28">
      <c r="A150" s="231">
        <v>3346</v>
      </c>
      <c r="B150" s="4">
        <v>103439</v>
      </c>
      <c r="C150" s="4" t="s">
        <v>812</v>
      </c>
      <c r="D150" s="4" t="s">
        <v>813</v>
      </c>
      <c r="E150" s="4" t="s">
        <v>5</v>
      </c>
      <c r="F150" s="232" t="s">
        <v>411</v>
      </c>
      <c r="H150" s="212">
        <v>0</v>
      </c>
      <c r="I150" s="212"/>
      <c r="J150" s="212"/>
      <c r="K150" s="212">
        <v>23153.83</v>
      </c>
      <c r="L150" s="212"/>
      <c r="M150" s="212"/>
      <c r="N150" s="212">
        <v>0</v>
      </c>
      <c r="O150" s="212">
        <v>0</v>
      </c>
      <c r="P150" s="212">
        <v>0</v>
      </c>
      <c r="Q150" s="229">
        <f t="shared" si="23"/>
        <v>23153.83</v>
      </c>
      <c r="S150" s="37">
        <f t="shared" si="25"/>
        <v>0</v>
      </c>
      <c r="T150" s="37">
        <f t="shared" si="25"/>
        <v>0</v>
      </c>
      <c r="U150" s="37">
        <f t="shared" si="25"/>
        <v>0</v>
      </c>
      <c r="V150" s="37">
        <f t="shared" si="25"/>
        <v>0</v>
      </c>
      <c r="W150" s="37">
        <f t="shared" si="25"/>
        <v>0</v>
      </c>
      <c r="X150" s="37">
        <f t="shared" si="25"/>
        <v>0</v>
      </c>
      <c r="Y150" s="37">
        <f t="shared" si="25"/>
        <v>0</v>
      </c>
      <c r="Z150" s="37">
        <f t="shared" si="25"/>
        <v>0</v>
      </c>
      <c r="AA150" s="37">
        <f t="shared" si="25"/>
        <v>0</v>
      </c>
      <c r="AB150" s="64">
        <f t="shared" si="24"/>
        <v>0</v>
      </c>
    </row>
    <row r="151" spans="1:28">
      <c r="A151" s="231">
        <v>3365</v>
      </c>
      <c r="B151" s="4">
        <v>103456</v>
      </c>
      <c r="C151" s="4" t="s">
        <v>815</v>
      </c>
      <c r="D151" s="4" t="s">
        <v>816</v>
      </c>
      <c r="E151" s="4" t="s">
        <v>5</v>
      </c>
      <c r="F151" s="232" t="s">
        <v>411</v>
      </c>
      <c r="H151" s="212">
        <v>0</v>
      </c>
      <c r="I151" s="212"/>
      <c r="J151" s="212"/>
      <c r="K151" s="212">
        <v>20790</v>
      </c>
      <c r="L151" s="212"/>
      <c r="M151" s="212"/>
      <c r="N151" s="212">
        <v>0</v>
      </c>
      <c r="O151" s="212">
        <v>0</v>
      </c>
      <c r="P151" s="212">
        <v>0</v>
      </c>
      <c r="Q151" s="229">
        <f t="shared" si="23"/>
        <v>20790</v>
      </c>
      <c r="S151" s="37">
        <f t="shared" si="25"/>
        <v>0</v>
      </c>
      <c r="T151" s="37">
        <f t="shared" si="25"/>
        <v>0</v>
      </c>
      <c r="U151" s="37">
        <f t="shared" si="25"/>
        <v>0</v>
      </c>
      <c r="V151" s="37">
        <f t="shared" si="25"/>
        <v>0</v>
      </c>
      <c r="W151" s="37">
        <f t="shared" si="25"/>
        <v>0</v>
      </c>
      <c r="X151" s="37">
        <f t="shared" si="25"/>
        <v>0</v>
      </c>
      <c r="Y151" s="37">
        <f t="shared" si="25"/>
        <v>0</v>
      </c>
      <c r="Z151" s="37">
        <f t="shared" si="25"/>
        <v>0</v>
      </c>
      <c r="AA151" s="37">
        <f t="shared" si="25"/>
        <v>0</v>
      </c>
      <c r="AB151" s="64">
        <f t="shared" si="24"/>
        <v>0</v>
      </c>
    </row>
    <row r="152" spans="1:28">
      <c r="A152" s="231">
        <v>1009</v>
      </c>
      <c r="B152" s="4">
        <v>103124</v>
      </c>
      <c r="C152" s="4" t="s">
        <v>818</v>
      </c>
      <c r="D152" s="4" t="s">
        <v>819</v>
      </c>
      <c r="E152" s="4" t="s">
        <v>180</v>
      </c>
      <c r="F152" s="232" t="s">
        <v>411</v>
      </c>
      <c r="H152" s="212">
        <v>0</v>
      </c>
      <c r="I152" s="212"/>
      <c r="J152" s="212"/>
      <c r="K152" s="212">
        <v>11956.25</v>
      </c>
      <c r="L152" s="212"/>
      <c r="M152" s="212"/>
      <c r="N152" s="212">
        <v>0</v>
      </c>
      <c r="O152" s="212">
        <v>0</v>
      </c>
      <c r="P152" s="212">
        <v>0</v>
      </c>
      <c r="Q152" s="229">
        <f t="shared" si="23"/>
        <v>11956.25</v>
      </c>
      <c r="S152" s="37">
        <f t="shared" ref="S152:AA161" si="26">SUMIF($H$3:$P$3,S$6,$H152:$P152)</f>
        <v>0</v>
      </c>
      <c r="T152" s="37">
        <f t="shared" si="26"/>
        <v>0</v>
      </c>
      <c r="U152" s="37">
        <f t="shared" si="26"/>
        <v>0</v>
      </c>
      <c r="V152" s="37">
        <f t="shared" si="26"/>
        <v>0</v>
      </c>
      <c r="W152" s="37">
        <f t="shared" si="26"/>
        <v>0</v>
      </c>
      <c r="X152" s="37">
        <f t="shared" si="26"/>
        <v>0</v>
      </c>
      <c r="Y152" s="37">
        <f t="shared" si="26"/>
        <v>0</v>
      </c>
      <c r="Z152" s="37">
        <f t="shared" si="26"/>
        <v>0</v>
      </c>
      <c r="AA152" s="37">
        <f t="shared" si="26"/>
        <v>0</v>
      </c>
      <c r="AB152" s="64">
        <f t="shared" si="24"/>
        <v>0</v>
      </c>
    </row>
    <row r="153" spans="1:28">
      <c r="A153" s="231">
        <v>3310</v>
      </c>
      <c r="B153" s="4">
        <v>103417</v>
      </c>
      <c r="C153" s="4" t="s">
        <v>821</v>
      </c>
      <c r="D153" s="4" t="s">
        <v>822</v>
      </c>
      <c r="E153" s="4" t="s">
        <v>5</v>
      </c>
      <c r="F153" s="232" t="s">
        <v>411</v>
      </c>
      <c r="H153" s="212">
        <v>1796.25</v>
      </c>
      <c r="I153" s="212"/>
      <c r="J153" s="212"/>
      <c r="K153" s="212">
        <v>19485</v>
      </c>
      <c r="L153" s="212"/>
      <c r="M153" s="212"/>
      <c r="N153" s="212">
        <v>0</v>
      </c>
      <c r="O153" s="212">
        <v>0</v>
      </c>
      <c r="P153" s="212">
        <v>0</v>
      </c>
      <c r="Q153" s="229">
        <f t="shared" si="23"/>
        <v>21281.25</v>
      </c>
      <c r="S153" s="37">
        <f t="shared" si="26"/>
        <v>0</v>
      </c>
      <c r="T153" s="37">
        <f t="shared" si="26"/>
        <v>0</v>
      </c>
      <c r="U153" s="37">
        <f t="shared" si="26"/>
        <v>0</v>
      </c>
      <c r="V153" s="37">
        <f t="shared" si="26"/>
        <v>0</v>
      </c>
      <c r="W153" s="37">
        <f t="shared" si="26"/>
        <v>0</v>
      </c>
      <c r="X153" s="37">
        <f t="shared" si="26"/>
        <v>0</v>
      </c>
      <c r="Y153" s="37">
        <f t="shared" si="26"/>
        <v>0</v>
      </c>
      <c r="Z153" s="37">
        <f t="shared" si="26"/>
        <v>0</v>
      </c>
      <c r="AA153" s="37">
        <f t="shared" si="26"/>
        <v>0</v>
      </c>
      <c r="AB153" s="64">
        <f t="shared" si="24"/>
        <v>0</v>
      </c>
    </row>
    <row r="154" spans="1:28">
      <c r="A154" s="231">
        <v>2067</v>
      </c>
      <c r="B154" s="4">
        <v>103196</v>
      </c>
      <c r="C154" s="4" t="s">
        <v>827</v>
      </c>
      <c r="D154" s="4" t="s">
        <v>828</v>
      </c>
      <c r="E154" s="4" t="s">
        <v>5</v>
      </c>
      <c r="F154" s="232" t="s">
        <v>411</v>
      </c>
      <c r="H154" s="212">
        <v>0</v>
      </c>
      <c r="I154" s="212"/>
      <c r="J154" s="212"/>
      <c r="K154" s="212">
        <v>8487.5</v>
      </c>
      <c r="L154" s="212"/>
      <c r="M154" s="212"/>
      <c r="N154" s="212">
        <v>0</v>
      </c>
      <c r="O154" s="212">
        <v>0</v>
      </c>
      <c r="P154" s="212">
        <v>0</v>
      </c>
      <c r="Q154" s="229">
        <f t="shared" si="23"/>
        <v>8487.5</v>
      </c>
      <c r="S154" s="37">
        <f t="shared" si="26"/>
        <v>0</v>
      </c>
      <c r="T154" s="37">
        <f t="shared" si="26"/>
        <v>0</v>
      </c>
      <c r="U154" s="37">
        <f t="shared" si="26"/>
        <v>0</v>
      </c>
      <c r="V154" s="37">
        <f t="shared" si="26"/>
        <v>0</v>
      </c>
      <c r="W154" s="37">
        <f t="shared" si="26"/>
        <v>0</v>
      </c>
      <c r="X154" s="37">
        <f t="shared" si="26"/>
        <v>0</v>
      </c>
      <c r="Y154" s="37">
        <f t="shared" si="26"/>
        <v>0</v>
      </c>
      <c r="Z154" s="37">
        <f t="shared" si="26"/>
        <v>0</v>
      </c>
      <c r="AA154" s="37">
        <f t="shared" si="26"/>
        <v>0</v>
      </c>
      <c r="AB154" s="64">
        <f t="shared" si="24"/>
        <v>0</v>
      </c>
    </row>
    <row r="155" spans="1:28">
      <c r="A155" s="231">
        <v>2246</v>
      </c>
      <c r="B155" s="4">
        <v>103296</v>
      </c>
      <c r="C155" s="4" t="s">
        <v>830</v>
      </c>
      <c r="D155" s="4" t="s">
        <v>831</v>
      </c>
      <c r="E155" s="4" t="s">
        <v>5</v>
      </c>
      <c r="F155" s="232" t="s">
        <v>411</v>
      </c>
      <c r="H155" s="212">
        <v>0</v>
      </c>
      <c r="I155" s="212"/>
      <c r="J155" s="212"/>
      <c r="K155" s="212">
        <v>71878.33</v>
      </c>
      <c r="L155" s="212"/>
      <c r="M155" s="212"/>
      <c r="N155" s="212">
        <v>0</v>
      </c>
      <c r="O155" s="212">
        <v>0</v>
      </c>
      <c r="P155" s="212">
        <v>0</v>
      </c>
      <c r="Q155" s="229">
        <f t="shared" si="23"/>
        <v>71878.33</v>
      </c>
      <c r="S155" s="37">
        <f t="shared" si="26"/>
        <v>0</v>
      </c>
      <c r="T155" s="37">
        <f t="shared" si="26"/>
        <v>0</v>
      </c>
      <c r="U155" s="37">
        <f t="shared" si="26"/>
        <v>0</v>
      </c>
      <c r="V155" s="37">
        <f t="shared" si="26"/>
        <v>0</v>
      </c>
      <c r="W155" s="37">
        <f t="shared" si="26"/>
        <v>0</v>
      </c>
      <c r="X155" s="37">
        <f t="shared" si="26"/>
        <v>0</v>
      </c>
      <c r="Y155" s="37">
        <f t="shared" si="26"/>
        <v>0</v>
      </c>
      <c r="Z155" s="37">
        <f t="shared" si="26"/>
        <v>0</v>
      </c>
      <c r="AA155" s="37">
        <f t="shared" si="26"/>
        <v>0</v>
      </c>
      <c r="AB155" s="64">
        <f t="shared" si="24"/>
        <v>0</v>
      </c>
    </row>
    <row r="156" spans="1:28">
      <c r="A156" s="231">
        <v>2192</v>
      </c>
      <c r="B156" s="4">
        <v>103268</v>
      </c>
      <c r="C156" s="4" t="s">
        <v>833</v>
      </c>
      <c r="D156" s="4" t="s">
        <v>834</v>
      </c>
      <c r="E156" s="4" t="s">
        <v>5</v>
      </c>
      <c r="F156" s="232" t="s">
        <v>411</v>
      </c>
      <c r="H156" s="212">
        <v>0</v>
      </c>
      <c r="I156" s="212"/>
      <c r="J156" s="212"/>
      <c r="K156" s="212">
        <v>17430</v>
      </c>
      <c r="L156" s="212"/>
      <c r="M156" s="212"/>
      <c r="N156" s="212">
        <v>0</v>
      </c>
      <c r="O156" s="212">
        <v>0</v>
      </c>
      <c r="P156" s="212">
        <v>0</v>
      </c>
      <c r="Q156" s="229">
        <f t="shared" si="23"/>
        <v>17430</v>
      </c>
      <c r="S156" s="37">
        <f t="shared" si="26"/>
        <v>0</v>
      </c>
      <c r="T156" s="37">
        <f t="shared" si="26"/>
        <v>0</v>
      </c>
      <c r="U156" s="37">
        <f t="shared" si="26"/>
        <v>0</v>
      </c>
      <c r="V156" s="37">
        <f t="shared" si="26"/>
        <v>0</v>
      </c>
      <c r="W156" s="37">
        <f t="shared" si="26"/>
        <v>0</v>
      </c>
      <c r="X156" s="37">
        <f t="shared" si="26"/>
        <v>0</v>
      </c>
      <c r="Y156" s="37">
        <f t="shared" si="26"/>
        <v>0</v>
      </c>
      <c r="Z156" s="37">
        <f t="shared" si="26"/>
        <v>0</v>
      </c>
      <c r="AA156" s="37">
        <f t="shared" si="26"/>
        <v>0</v>
      </c>
      <c r="AB156" s="64">
        <f t="shared" si="24"/>
        <v>0</v>
      </c>
    </row>
    <row r="157" spans="1:28">
      <c r="A157" s="231">
        <v>2108</v>
      </c>
      <c r="B157" s="4">
        <v>103217</v>
      </c>
      <c r="C157" s="4" t="s">
        <v>836</v>
      </c>
      <c r="D157" s="4" t="s">
        <v>837</v>
      </c>
      <c r="E157" s="4" t="s">
        <v>5</v>
      </c>
      <c r="F157" s="232" t="s">
        <v>411</v>
      </c>
      <c r="H157" s="212">
        <v>0</v>
      </c>
      <c r="I157" s="212"/>
      <c r="J157" s="212"/>
      <c r="K157" s="212">
        <v>53227</v>
      </c>
      <c r="L157" s="212"/>
      <c r="M157" s="212"/>
      <c r="N157" s="212">
        <v>0</v>
      </c>
      <c r="O157" s="212">
        <v>0</v>
      </c>
      <c r="P157" s="212">
        <v>0</v>
      </c>
      <c r="Q157" s="229">
        <f t="shared" si="23"/>
        <v>53227</v>
      </c>
      <c r="S157" s="37">
        <f t="shared" si="26"/>
        <v>0</v>
      </c>
      <c r="T157" s="37">
        <f t="shared" si="26"/>
        <v>0</v>
      </c>
      <c r="U157" s="37">
        <f t="shared" si="26"/>
        <v>0</v>
      </c>
      <c r="V157" s="37">
        <f t="shared" si="26"/>
        <v>0</v>
      </c>
      <c r="W157" s="37">
        <f t="shared" si="26"/>
        <v>0</v>
      </c>
      <c r="X157" s="37">
        <f t="shared" si="26"/>
        <v>0</v>
      </c>
      <c r="Y157" s="37">
        <f t="shared" si="26"/>
        <v>0</v>
      </c>
      <c r="Z157" s="37">
        <f t="shared" si="26"/>
        <v>0</v>
      </c>
      <c r="AA157" s="37">
        <f t="shared" si="26"/>
        <v>0</v>
      </c>
      <c r="AB157" s="64">
        <f t="shared" si="24"/>
        <v>0</v>
      </c>
    </row>
    <row r="158" spans="1:28">
      <c r="A158" s="231">
        <v>1020</v>
      </c>
      <c r="B158" s="4">
        <v>103133</v>
      </c>
      <c r="C158" s="4" t="s">
        <v>839</v>
      </c>
      <c r="D158" s="4" t="s">
        <v>840</v>
      </c>
      <c r="E158" s="4" t="s">
        <v>180</v>
      </c>
      <c r="F158" s="232" t="s">
        <v>411</v>
      </c>
      <c r="H158" s="212">
        <v>0</v>
      </c>
      <c r="I158" s="212"/>
      <c r="J158" s="212"/>
      <c r="K158" s="212">
        <v>23952.5</v>
      </c>
      <c r="L158" s="212"/>
      <c r="M158" s="212"/>
      <c r="N158" s="212">
        <v>0</v>
      </c>
      <c r="O158" s="212">
        <v>0</v>
      </c>
      <c r="P158" s="212">
        <v>0</v>
      </c>
      <c r="Q158" s="229">
        <f t="shared" si="23"/>
        <v>23952.5</v>
      </c>
      <c r="S158" s="37">
        <f t="shared" si="26"/>
        <v>0</v>
      </c>
      <c r="T158" s="37">
        <f t="shared" si="26"/>
        <v>0</v>
      </c>
      <c r="U158" s="37">
        <f t="shared" si="26"/>
        <v>0</v>
      </c>
      <c r="V158" s="37">
        <f t="shared" si="26"/>
        <v>0</v>
      </c>
      <c r="W158" s="37">
        <f t="shared" si="26"/>
        <v>0</v>
      </c>
      <c r="X158" s="37">
        <f t="shared" si="26"/>
        <v>0</v>
      </c>
      <c r="Y158" s="37">
        <f t="shared" si="26"/>
        <v>0</v>
      </c>
      <c r="Z158" s="37">
        <f t="shared" si="26"/>
        <v>0</v>
      </c>
      <c r="AA158" s="37">
        <f t="shared" si="26"/>
        <v>0</v>
      </c>
      <c r="AB158" s="64">
        <f t="shared" si="24"/>
        <v>0</v>
      </c>
    </row>
    <row r="159" spans="1:28">
      <c r="A159" s="231">
        <v>1014</v>
      </c>
      <c r="B159" s="4">
        <v>103127</v>
      </c>
      <c r="C159" s="4" t="s">
        <v>842</v>
      </c>
      <c r="D159" s="4" t="s">
        <v>843</v>
      </c>
      <c r="E159" s="4" t="s">
        <v>180</v>
      </c>
      <c r="F159" s="232" t="s">
        <v>411</v>
      </c>
      <c r="H159" s="212">
        <v>0</v>
      </c>
      <c r="I159" s="212"/>
      <c r="J159" s="212"/>
      <c r="K159" s="212">
        <v>34122.5</v>
      </c>
      <c r="L159" s="212"/>
      <c r="M159" s="212"/>
      <c r="N159" s="212">
        <v>0</v>
      </c>
      <c r="O159" s="212">
        <v>0</v>
      </c>
      <c r="P159" s="212">
        <v>0</v>
      </c>
      <c r="Q159" s="229">
        <f t="shared" si="23"/>
        <v>34122.5</v>
      </c>
      <c r="S159" s="37">
        <f t="shared" si="26"/>
        <v>0</v>
      </c>
      <c r="T159" s="37">
        <f t="shared" si="26"/>
        <v>0</v>
      </c>
      <c r="U159" s="37">
        <f t="shared" si="26"/>
        <v>0</v>
      </c>
      <c r="V159" s="37">
        <f t="shared" si="26"/>
        <v>0</v>
      </c>
      <c r="W159" s="37">
        <f t="shared" si="26"/>
        <v>0</v>
      </c>
      <c r="X159" s="37">
        <f t="shared" si="26"/>
        <v>0</v>
      </c>
      <c r="Y159" s="37">
        <f t="shared" si="26"/>
        <v>0</v>
      </c>
      <c r="Z159" s="37">
        <f t="shared" si="26"/>
        <v>0</v>
      </c>
      <c r="AA159" s="37">
        <f t="shared" si="26"/>
        <v>0</v>
      </c>
      <c r="AB159" s="64">
        <f t="shared" si="24"/>
        <v>0</v>
      </c>
    </row>
    <row r="160" spans="1:28">
      <c r="A160" s="231">
        <v>2019</v>
      </c>
      <c r="B160" s="4">
        <v>134279</v>
      </c>
      <c r="C160" s="4" t="s">
        <v>845</v>
      </c>
      <c r="D160" s="4" t="s">
        <v>846</v>
      </c>
      <c r="E160" s="4" t="s">
        <v>5</v>
      </c>
      <c r="F160" s="232" t="s">
        <v>411</v>
      </c>
      <c r="H160" s="212">
        <v>0</v>
      </c>
      <c r="I160" s="212"/>
      <c r="J160" s="212"/>
      <c r="K160" s="212">
        <v>37391</v>
      </c>
      <c r="L160" s="212"/>
      <c r="M160" s="212"/>
      <c r="N160" s="212">
        <v>0</v>
      </c>
      <c r="O160" s="212">
        <v>0</v>
      </c>
      <c r="P160" s="212">
        <v>0</v>
      </c>
      <c r="Q160" s="229">
        <f t="shared" si="23"/>
        <v>37391</v>
      </c>
      <c r="S160" s="37">
        <f t="shared" si="26"/>
        <v>0</v>
      </c>
      <c r="T160" s="37">
        <f t="shared" si="26"/>
        <v>0</v>
      </c>
      <c r="U160" s="37">
        <f t="shared" si="26"/>
        <v>0</v>
      </c>
      <c r="V160" s="37">
        <f t="shared" si="26"/>
        <v>0</v>
      </c>
      <c r="W160" s="37">
        <f t="shared" si="26"/>
        <v>0</v>
      </c>
      <c r="X160" s="37">
        <f t="shared" si="26"/>
        <v>0</v>
      </c>
      <c r="Y160" s="37">
        <f t="shared" si="26"/>
        <v>0</v>
      </c>
      <c r="Z160" s="37">
        <f t="shared" si="26"/>
        <v>0</v>
      </c>
      <c r="AA160" s="37">
        <f t="shared" si="26"/>
        <v>0</v>
      </c>
      <c r="AB160" s="64">
        <f t="shared" si="24"/>
        <v>0</v>
      </c>
    </row>
    <row r="161" spans="1:28">
      <c r="A161" s="231">
        <v>2314</v>
      </c>
      <c r="B161" s="4">
        <v>103334</v>
      </c>
      <c r="C161" s="4" t="s">
        <v>848</v>
      </c>
      <c r="D161" s="4" t="s">
        <v>849</v>
      </c>
      <c r="E161" s="4" t="s">
        <v>5</v>
      </c>
      <c r="F161" s="232" t="s">
        <v>411</v>
      </c>
      <c r="H161" s="212">
        <v>0</v>
      </c>
      <c r="I161" s="212"/>
      <c r="J161" s="212"/>
      <c r="K161" s="212">
        <v>11917.5</v>
      </c>
      <c r="L161" s="212"/>
      <c r="M161" s="212"/>
      <c r="N161" s="212">
        <v>0</v>
      </c>
      <c r="O161" s="212">
        <v>0</v>
      </c>
      <c r="P161" s="212">
        <v>0</v>
      </c>
      <c r="Q161" s="229">
        <f t="shared" si="23"/>
        <v>11917.5</v>
      </c>
      <c r="S161" s="37">
        <f t="shared" si="26"/>
        <v>0</v>
      </c>
      <c r="T161" s="37">
        <f t="shared" si="26"/>
        <v>0</v>
      </c>
      <c r="U161" s="37">
        <f t="shared" si="26"/>
        <v>0</v>
      </c>
      <c r="V161" s="37">
        <f t="shared" si="26"/>
        <v>0</v>
      </c>
      <c r="W161" s="37">
        <f t="shared" si="26"/>
        <v>0</v>
      </c>
      <c r="X161" s="37">
        <f t="shared" si="26"/>
        <v>0</v>
      </c>
      <c r="Y161" s="37">
        <f t="shared" si="26"/>
        <v>0</v>
      </c>
      <c r="Z161" s="37">
        <f t="shared" si="26"/>
        <v>0</v>
      </c>
      <c r="AA161" s="37">
        <f t="shared" si="26"/>
        <v>0</v>
      </c>
      <c r="AB161" s="64">
        <f t="shared" si="24"/>
        <v>0</v>
      </c>
    </row>
    <row r="162" spans="1:28">
      <c r="A162" s="231">
        <v>2227</v>
      </c>
      <c r="B162" s="4">
        <v>103281</v>
      </c>
      <c r="C162" s="4" t="s">
        <v>851</v>
      </c>
      <c r="D162" s="4" t="s">
        <v>852</v>
      </c>
      <c r="E162" s="4" t="s">
        <v>5</v>
      </c>
      <c r="F162" s="232" t="s">
        <v>411</v>
      </c>
      <c r="H162" s="212">
        <v>0</v>
      </c>
      <c r="I162" s="212"/>
      <c r="J162" s="212"/>
      <c r="K162" s="212">
        <v>48385</v>
      </c>
      <c r="L162" s="212"/>
      <c r="M162" s="212"/>
      <c r="N162" s="212">
        <v>0</v>
      </c>
      <c r="O162" s="212">
        <v>0</v>
      </c>
      <c r="P162" s="212">
        <v>0</v>
      </c>
      <c r="Q162" s="229">
        <f t="shared" si="23"/>
        <v>48385</v>
      </c>
      <c r="S162" s="37">
        <f t="shared" ref="S162:AA171" si="27">SUMIF($H$3:$P$3,S$6,$H162:$P162)</f>
        <v>0</v>
      </c>
      <c r="T162" s="37">
        <f t="shared" si="27"/>
        <v>0</v>
      </c>
      <c r="U162" s="37">
        <f t="shared" si="27"/>
        <v>0</v>
      </c>
      <c r="V162" s="37">
        <f t="shared" si="27"/>
        <v>0</v>
      </c>
      <c r="W162" s="37">
        <f t="shared" si="27"/>
        <v>0</v>
      </c>
      <c r="X162" s="37">
        <f t="shared" si="27"/>
        <v>0</v>
      </c>
      <c r="Y162" s="37">
        <f t="shared" si="27"/>
        <v>0</v>
      </c>
      <c r="Z162" s="37">
        <f t="shared" si="27"/>
        <v>0</v>
      </c>
      <c r="AA162" s="37">
        <f t="shared" si="27"/>
        <v>0</v>
      </c>
      <c r="AB162" s="64">
        <f t="shared" si="24"/>
        <v>0</v>
      </c>
    </row>
    <row r="163" spans="1:28">
      <c r="A163" s="231">
        <v>2231</v>
      </c>
      <c r="B163" s="4">
        <v>103284</v>
      </c>
      <c r="C163" s="4" t="s">
        <v>854</v>
      </c>
      <c r="D163" s="4" t="s">
        <v>855</v>
      </c>
      <c r="E163" s="4" t="s">
        <v>5</v>
      </c>
      <c r="F163" s="232" t="s">
        <v>411</v>
      </c>
      <c r="H163" s="212">
        <v>0</v>
      </c>
      <c r="I163" s="212"/>
      <c r="J163" s="212"/>
      <c r="K163" s="212">
        <v>12331.67</v>
      </c>
      <c r="L163" s="212"/>
      <c r="M163" s="212"/>
      <c r="N163" s="212">
        <v>0</v>
      </c>
      <c r="O163" s="212">
        <v>0</v>
      </c>
      <c r="P163" s="212">
        <v>0</v>
      </c>
      <c r="Q163" s="229">
        <f t="shared" si="23"/>
        <v>12331.67</v>
      </c>
      <c r="S163" s="37">
        <f t="shared" si="27"/>
        <v>0</v>
      </c>
      <c r="T163" s="37">
        <f t="shared" si="27"/>
        <v>0</v>
      </c>
      <c r="U163" s="37">
        <f t="shared" si="27"/>
        <v>0</v>
      </c>
      <c r="V163" s="37">
        <f t="shared" si="27"/>
        <v>0</v>
      </c>
      <c r="W163" s="37">
        <f t="shared" si="27"/>
        <v>0</v>
      </c>
      <c r="X163" s="37">
        <f t="shared" si="27"/>
        <v>0</v>
      </c>
      <c r="Y163" s="37">
        <f t="shared" si="27"/>
        <v>0</v>
      </c>
      <c r="Z163" s="37">
        <f t="shared" si="27"/>
        <v>0</v>
      </c>
      <c r="AA163" s="37">
        <f t="shared" si="27"/>
        <v>0</v>
      </c>
      <c r="AB163" s="64">
        <f t="shared" si="24"/>
        <v>0</v>
      </c>
    </row>
    <row r="164" spans="1:28">
      <c r="A164" s="231">
        <v>2153</v>
      </c>
      <c r="B164" s="4">
        <v>103243</v>
      </c>
      <c r="C164" s="4" t="s">
        <v>414</v>
      </c>
      <c r="D164" s="4" t="s">
        <v>416</v>
      </c>
      <c r="E164" s="4" t="s">
        <v>5</v>
      </c>
      <c r="F164" s="232" t="s">
        <v>415</v>
      </c>
      <c r="H164" s="212">
        <v>0</v>
      </c>
      <c r="I164" s="212"/>
      <c r="J164" s="212"/>
      <c r="K164" s="212">
        <v>23589.33</v>
      </c>
      <c r="L164" s="212"/>
      <c r="M164" s="212"/>
      <c r="N164" s="212">
        <v>0</v>
      </c>
      <c r="O164" s="212">
        <v>0</v>
      </c>
      <c r="P164" s="212">
        <v>0</v>
      </c>
      <c r="Q164" s="229">
        <f t="shared" si="23"/>
        <v>23589.33</v>
      </c>
      <c r="S164" s="37">
        <f t="shared" si="27"/>
        <v>0</v>
      </c>
      <c r="T164" s="37">
        <f t="shared" si="27"/>
        <v>0</v>
      </c>
      <c r="U164" s="37">
        <f t="shared" si="27"/>
        <v>0</v>
      </c>
      <c r="V164" s="37">
        <f t="shared" si="27"/>
        <v>0</v>
      </c>
      <c r="W164" s="37">
        <f t="shared" si="27"/>
        <v>0</v>
      </c>
      <c r="X164" s="37">
        <f t="shared" si="27"/>
        <v>0</v>
      </c>
      <c r="Y164" s="37">
        <f t="shared" si="27"/>
        <v>0</v>
      </c>
      <c r="Z164" s="37">
        <f t="shared" si="27"/>
        <v>0</v>
      </c>
      <c r="AA164" s="37">
        <f t="shared" si="27"/>
        <v>0</v>
      </c>
      <c r="AB164" s="64">
        <f t="shared" si="24"/>
        <v>0</v>
      </c>
    </row>
    <row r="165" spans="1:28">
      <c r="A165" s="231">
        <v>2479</v>
      </c>
      <c r="B165" s="4">
        <v>132074</v>
      </c>
      <c r="C165" s="4" t="s">
        <v>418</v>
      </c>
      <c r="D165" s="4" t="s">
        <v>419</v>
      </c>
      <c r="E165" s="4" t="s">
        <v>5</v>
      </c>
      <c r="F165" s="232" t="s">
        <v>415</v>
      </c>
      <c r="H165" s="212">
        <v>0</v>
      </c>
      <c r="I165" s="212"/>
      <c r="J165" s="212"/>
      <c r="K165" s="212">
        <v>39900</v>
      </c>
      <c r="L165" s="212"/>
      <c r="M165" s="212"/>
      <c r="N165" s="212">
        <v>0</v>
      </c>
      <c r="O165" s="212">
        <v>0</v>
      </c>
      <c r="P165" s="212">
        <v>0</v>
      </c>
      <c r="Q165" s="229">
        <f t="shared" si="23"/>
        <v>39900</v>
      </c>
      <c r="S165" s="37">
        <f t="shared" si="27"/>
        <v>0</v>
      </c>
      <c r="T165" s="37">
        <f t="shared" si="27"/>
        <v>0</v>
      </c>
      <c r="U165" s="37">
        <f t="shared" si="27"/>
        <v>0</v>
      </c>
      <c r="V165" s="37">
        <f t="shared" si="27"/>
        <v>0</v>
      </c>
      <c r="W165" s="37">
        <f t="shared" si="27"/>
        <v>0</v>
      </c>
      <c r="X165" s="37">
        <f t="shared" si="27"/>
        <v>0</v>
      </c>
      <c r="Y165" s="37">
        <f t="shared" si="27"/>
        <v>0</v>
      </c>
      <c r="Z165" s="37">
        <f t="shared" si="27"/>
        <v>0</v>
      </c>
      <c r="AA165" s="37">
        <f t="shared" si="27"/>
        <v>0</v>
      </c>
      <c r="AB165" s="64">
        <f t="shared" si="24"/>
        <v>0</v>
      </c>
    </row>
    <row r="166" spans="1:28">
      <c r="A166" s="231">
        <v>2239</v>
      </c>
      <c r="B166" s="4">
        <v>103289</v>
      </c>
      <c r="C166" s="4" t="s">
        <v>421</v>
      </c>
      <c r="D166" s="4" t="s">
        <v>422</v>
      </c>
      <c r="E166" s="4" t="s">
        <v>5</v>
      </c>
      <c r="F166" s="232" t="s">
        <v>415</v>
      </c>
      <c r="H166" s="212">
        <v>0</v>
      </c>
      <c r="I166" s="212"/>
      <c r="J166" s="212"/>
      <c r="K166" s="212">
        <v>23975</v>
      </c>
      <c r="L166" s="212"/>
      <c r="M166" s="212"/>
      <c r="N166" s="212">
        <v>0</v>
      </c>
      <c r="O166" s="212">
        <v>0</v>
      </c>
      <c r="P166" s="212">
        <v>0</v>
      </c>
      <c r="Q166" s="229">
        <f t="shared" si="23"/>
        <v>23975</v>
      </c>
      <c r="S166" s="37">
        <f t="shared" si="27"/>
        <v>0</v>
      </c>
      <c r="T166" s="37">
        <f t="shared" si="27"/>
        <v>0</v>
      </c>
      <c r="U166" s="37">
        <f t="shared" si="27"/>
        <v>0</v>
      </c>
      <c r="V166" s="37">
        <f t="shared" si="27"/>
        <v>0</v>
      </c>
      <c r="W166" s="37">
        <f t="shared" si="27"/>
        <v>0</v>
      </c>
      <c r="X166" s="37">
        <f t="shared" si="27"/>
        <v>0</v>
      </c>
      <c r="Y166" s="37">
        <f t="shared" si="27"/>
        <v>0</v>
      </c>
      <c r="Z166" s="37">
        <f t="shared" si="27"/>
        <v>0</v>
      </c>
      <c r="AA166" s="37">
        <f t="shared" si="27"/>
        <v>0</v>
      </c>
      <c r="AB166" s="64">
        <f t="shared" si="24"/>
        <v>0</v>
      </c>
    </row>
    <row r="167" spans="1:28">
      <c r="A167" s="231">
        <v>2435</v>
      </c>
      <c r="B167" s="4">
        <v>103362</v>
      </c>
      <c r="C167" s="4" t="s">
        <v>424</v>
      </c>
      <c r="D167" s="4" t="s">
        <v>425</v>
      </c>
      <c r="E167" s="4" t="s">
        <v>5</v>
      </c>
      <c r="F167" s="232" t="s">
        <v>415</v>
      </c>
      <c r="H167" s="212">
        <v>0</v>
      </c>
      <c r="I167" s="212"/>
      <c r="J167" s="212"/>
      <c r="K167" s="212">
        <v>25042.5</v>
      </c>
      <c r="L167" s="212"/>
      <c r="M167" s="212"/>
      <c r="N167" s="212">
        <v>0</v>
      </c>
      <c r="O167" s="212">
        <v>0</v>
      </c>
      <c r="P167" s="212">
        <v>0</v>
      </c>
      <c r="Q167" s="229">
        <f t="shared" si="23"/>
        <v>25042.5</v>
      </c>
      <c r="S167" s="37">
        <f t="shared" si="27"/>
        <v>0</v>
      </c>
      <c r="T167" s="37">
        <f t="shared" si="27"/>
        <v>0</v>
      </c>
      <c r="U167" s="37">
        <f t="shared" si="27"/>
        <v>0</v>
      </c>
      <c r="V167" s="37">
        <f t="shared" si="27"/>
        <v>0</v>
      </c>
      <c r="W167" s="37">
        <f t="shared" si="27"/>
        <v>0</v>
      </c>
      <c r="X167" s="37">
        <f t="shared" si="27"/>
        <v>0</v>
      </c>
      <c r="Y167" s="37">
        <f t="shared" si="27"/>
        <v>0</v>
      </c>
      <c r="Z167" s="37">
        <f t="shared" si="27"/>
        <v>0</v>
      </c>
      <c r="AA167" s="37">
        <f t="shared" si="27"/>
        <v>0</v>
      </c>
      <c r="AB167" s="64">
        <f t="shared" si="24"/>
        <v>0</v>
      </c>
    </row>
    <row r="168" spans="1:28">
      <c r="A168" s="231">
        <v>1001</v>
      </c>
      <c r="B168" s="4">
        <v>103120</v>
      </c>
      <c r="C168" s="4" t="s">
        <v>427</v>
      </c>
      <c r="D168" s="4" t="s">
        <v>428</v>
      </c>
      <c r="E168" s="4" t="s">
        <v>180</v>
      </c>
      <c r="F168" s="232" t="s">
        <v>415</v>
      </c>
      <c r="H168" s="212">
        <v>0</v>
      </c>
      <c r="I168" s="212"/>
      <c r="J168" s="212"/>
      <c r="K168" s="212">
        <v>0</v>
      </c>
      <c r="L168" s="212"/>
      <c r="M168" s="212"/>
      <c r="N168" s="212">
        <v>0</v>
      </c>
      <c r="O168" s="212">
        <v>0</v>
      </c>
      <c r="P168" s="212">
        <v>0</v>
      </c>
      <c r="Q168" s="229">
        <f t="shared" ref="Q168:Q199" si="28">SUM(H168:P168)</f>
        <v>0</v>
      </c>
      <c r="S168" s="37">
        <f t="shared" si="27"/>
        <v>0</v>
      </c>
      <c r="T168" s="37">
        <f t="shared" si="27"/>
        <v>0</v>
      </c>
      <c r="U168" s="37">
        <f t="shared" si="27"/>
        <v>0</v>
      </c>
      <c r="V168" s="37">
        <f t="shared" si="27"/>
        <v>0</v>
      </c>
      <c r="W168" s="37">
        <f t="shared" si="27"/>
        <v>0</v>
      </c>
      <c r="X168" s="37">
        <f t="shared" si="27"/>
        <v>0</v>
      </c>
      <c r="Y168" s="37">
        <f t="shared" si="27"/>
        <v>0</v>
      </c>
      <c r="Z168" s="37">
        <f t="shared" si="27"/>
        <v>0</v>
      </c>
      <c r="AA168" s="37">
        <f t="shared" si="27"/>
        <v>0</v>
      </c>
      <c r="AB168" s="64">
        <f t="shared" ref="AB168:AB199" si="29">SUM(H168:P168)-Q168</f>
        <v>0</v>
      </c>
    </row>
    <row r="169" spans="1:28">
      <c r="A169" s="231">
        <v>7030</v>
      </c>
      <c r="B169" s="4">
        <v>103611</v>
      </c>
      <c r="C169" s="4" t="s">
        <v>430</v>
      </c>
      <c r="D169" s="4" t="s">
        <v>431</v>
      </c>
      <c r="E169" s="4" t="s">
        <v>1093</v>
      </c>
      <c r="F169" s="232" t="s">
        <v>415</v>
      </c>
      <c r="H169" s="212">
        <v>0</v>
      </c>
      <c r="I169" s="212"/>
      <c r="J169" s="212"/>
      <c r="K169" s="212">
        <v>0</v>
      </c>
      <c r="L169" s="212"/>
      <c r="M169" s="212"/>
      <c r="N169" s="212">
        <v>0</v>
      </c>
      <c r="O169" s="212">
        <v>0</v>
      </c>
      <c r="P169" s="212">
        <v>0</v>
      </c>
      <c r="Q169" s="229">
        <f t="shared" si="28"/>
        <v>0</v>
      </c>
      <c r="S169" s="37">
        <f t="shared" si="27"/>
        <v>0</v>
      </c>
      <c r="T169" s="37">
        <f t="shared" si="27"/>
        <v>0</v>
      </c>
      <c r="U169" s="37">
        <f t="shared" si="27"/>
        <v>0</v>
      </c>
      <c r="V169" s="37">
        <f t="shared" si="27"/>
        <v>0</v>
      </c>
      <c r="W169" s="37">
        <f t="shared" si="27"/>
        <v>0</v>
      </c>
      <c r="X169" s="37">
        <f t="shared" si="27"/>
        <v>0</v>
      </c>
      <c r="Y169" s="37">
        <f t="shared" si="27"/>
        <v>0</v>
      </c>
      <c r="Z169" s="37">
        <f t="shared" si="27"/>
        <v>0</v>
      </c>
      <c r="AA169" s="37">
        <f t="shared" si="27"/>
        <v>0</v>
      </c>
      <c r="AB169" s="64">
        <f t="shared" si="29"/>
        <v>0</v>
      </c>
    </row>
    <row r="170" spans="1:28">
      <c r="A170" s="231">
        <v>2465</v>
      </c>
      <c r="B170" s="4">
        <v>103391</v>
      </c>
      <c r="C170" s="4" t="s">
        <v>433</v>
      </c>
      <c r="D170" s="4" t="s">
        <v>434</v>
      </c>
      <c r="E170" s="4" t="s">
        <v>5</v>
      </c>
      <c r="F170" s="232" t="s">
        <v>415</v>
      </c>
      <c r="H170" s="212">
        <v>0</v>
      </c>
      <c r="I170" s="212"/>
      <c r="J170" s="212"/>
      <c r="K170" s="212">
        <v>33576.67</v>
      </c>
      <c r="L170" s="212"/>
      <c r="M170" s="212"/>
      <c r="N170" s="212">
        <v>0</v>
      </c>
      <c r="O170" s="212">
        <v>0</v>
      </c>
      <c r="P170" s="212">
        <v>0</v>
      </c>
      <c r="Q170" s="229">
        <f t="shared" si="28"/>
        <v>33576.67</v>
      </c>
      <c r="S170" s="37">
        <f t="shared" si="27"/>
        <v>0</v>
      </c>
      <c r="T170" s="37">
        <f t="shared" si="27"/>
        <v>0</v>
      </c>
      <c r="U170" s="37">
        <f t="shared" si="27"/>
        <v>0</v>
      </c>
      <c r="V170" s="37">
        <f t="shared" si="27"/>
        <v>0</v>
      </c>
      <c r="W170" s="37">
        <f t="shared" si="27"/>
        <v>0</v>
      </c>
      <c r="X170" s="37">
        <f t="shared" si="27"/>
        <v>0</v>
      </c>
      <c r="Y170" s="37">
        <f t="shared" si="27"/>
        <v>0</v>
      </c>
      <c r="Z170" s="37">
        <f t="shared" si="27"/>
        <v>0</v>
      </c>
      <c r="AA170" s="37">
        <f t="shared" si="27"/>
        <v>0</v>
      </c>
      <c r="AB170" s="64">
        <f t="shared" si="29"/>
        <v>0</v>
      </c>
    </row>
    <row r="171" spans="1:28">
      <c r="A171" s="231">
        <v>2040</v>
      </c>
      <c r="B171" s="4">
        <v>103178</v>
      </c>
      <c r="C171" s="4" t="s">
        <v>436</v>
      </c>
      <c r="D171" s="4" t="s">
        <v>437</v>
      </c>
      <c r="E171" s="4" t="s">
        <v>5</v>
      </c>
      <c r="F171" s="232" t="s">
        <v>415</v>
      </c>
      <c r="H171" s="212">
        <v>0</v>
      </c>
      <c r="I171" s="212"/>
      <c r="J171" s="212"/>
      <c r="K171" s="212">
        <v>63828.33</v>
      </c>
      <c r="L171" s="212"/>
      <c r="M171" s="212"/>
      <c r="N171" s="212">
        <v>0</v>
      </c>
      <c r="O171" s="212">
        <v>0</v>
      </c>
      <c r="P171" s="212">
        <v>0</v>
      </c>
      <c r="Q171" s="229">
        <f t="shared" si="28"/>
        <v>63828.33</v>
      </c>
      <c r="S171" s="37">
        <f t="shared" si="27"/>
        <v>0</v>
      </c>
      <c r="T171" s="37">
        <f t="shared" si="27"/>
        <v>0</v>
      </c>
      <c r="U171" s="37">
        <f t="shared" si="27"/>
        <v>0</v>
      </c>
      <c r="V171" s="37">
        <f t="shared" si="27"/>
        <v>0</v>
      </c>
      <c r="W171" s="37">
        <f t="shared" si="27"/>
        <v>0</v>
      </c>
      <c r="X171" s="37">
        <f t="shared" si="27"/>
        <v>0</v>
      </c>
      <c r="Y171" s="37">
        <f t="shared" si="27"/>
        <v>0</v>
      </c>
      <c r="Z171" s="37">
        <f t="shared" si="27"/>
        <v>0</v>
      </c>
      <c r="AA171" s="37">
        <f t="shared" si="27"/>
        <v>0</v>
      </c>
      <c r="AB171" s="64">
        <f t="shared" si="29"/>
        <v>0</v>
      </c>
    </row>
    <row r="172" spans="1:28">
      <c r="A172" s="231">
        <v>1100</v>
      </c>
      <c r="B172" s="4">
        <v>103146</v>
      </c>
      <c r="C172" s="4" t="s">
        <v>439</v>
      </c>
      <c r="D172" s="4" t="s">
        <v>440</v>
      </c>
      <c r="E172" s="4" t="s">
        <v>1094</v>
      </c>
      <c r="F172" s="232" t="s">
        <v>415</v>
      </c>
      <c r="H172" s="212">
        <v>0</v>
      </c>
      <c r="I172" s="212"/>
      <c r="J172" s="212"/>
      <c r="K172" s="212">
        <v>20976.67</v>
      </c>
      <c r="L172" s="212"/>
      <c r="M172" s="212"/>
      <c r="N172" s="212">
        <v>0</v>
      </c>
      <c r="O172" s="212">
        <v>0</v>
      </c>
      <c r="P172" s="212">
        <v>0</v>
      </c>
      <c r="Q172" s="229">
        <f t="shared" si="28"/>
        <v>20976.67</v>
      </c>
      <c r="S172" s="37">
        <f t="shared" ref="S172:AA181" si="30">SUMIF($H$3:$P$3,S$6,$H172:$P172)</f>
        <v>0</v>
      </c>
      <c r="T172" s="37">
        <f t="shared" si="30"/>
        <v>0</v>
      </c>
      <c r="U172" s="37">
        <f t="shared" si="30"/>
        <v>0</v>
      </c>
      <c r="V172" s="37">
        <f t="shared" si="30"/>
        <v>0</v>
      </c>
      <c r="W172" s="37">
        <f t="shared" si="30"/>
        <v>0</v>
      </c>
      <c r="X172" s="37">
        <f t="shared" si="30"/>
        <v>0</v>
      </c>
      <c r="Y172" s="37">
        <f t="shared" si="30"/>
        <v>0</v>
      </c>
      <c r="Z172" s="37">
        <f t="shared" si="30"/>
        <v>0</v>
      </c>
      <c r="AA172" s="37">
        <f t="shared" si="30"/>
        <v>0</v>
      </c>
      <c r="AB172" s="64">
        <f t="shared" si="29"/>
        <v>0</v>
      </c>
    </row>
    <row r="173" spans="1:28">
      <c r="A173" s="231">
        <v>3432</v>
      </c>
      <c r="B173" s="4">
        <v>134840</v>
      </c>
      <c r="C173" s="4" t="s">
        <v>442</v>
      </c>
      <c r="D173" s="4" t="s">
        <v>443</v>
      </c>
      <c r="E173" s="4" t="s">
        <v>5</v>
      </c>
      <c r="F173" s="232" t="s">
        <v>415</v>
      </c>
      <c r="H173" s="212">
        <v>0</v>
      </c>
      <c r="I173" s="212"/>
      <c r="J173" s="212"/>
      <c r="K173" s="212">
        <v>64089.83</v>
      </c>
      <c r="L173" s="212"/>
      <c r="M173" s="212"/>
      <c r="N173" s="212">
        <v>0</v>
      </c>
      <c r="O173" s="212">
        <v>0</v>
      </c>
      <c r="P173" s="212">
        <v>0</v>
      </c>
      <c r="Q173" s="229">
        <f t="shared" si="28"/>
        <v>64089.83</v>
      </c>
      <c r="S173" s="37">
        <f t="shared" si="30"/>
        <v>0</v>
      </c>
      <c r="T173" s="37">
        <f t="shared" si="30"/>
        <v>0</v>
      </c>
      <c r="U173" s="37">
        <f t="shared" si="30"/>
        <v>0</v>
      </c>
      <c r="V173" s="37">
        <f t="shared" si="30"/>
        <v>0</v>
      </c>
      <c r="W173" s="37">
        <f t="shared" si="30"/>
        <v>0</v>
      </c>
      <c r="X173" s="37">
        <f t="shared" si="30"/>
        <v>0</v>
      </c>
      <c r="Y173" s="37">
        <f t="shared" si="30"/>
        <v>0</v>
      </c>
      <c r="Z173" s="37">
        <f t="shared" si="30"/>
        <v>0</v>
      </c>
      <c r="AA173" s="37">
        <f t="shared" si="30"/>
        <v>0</v>
      </c>
      <c r="AB173" s="64">
        <f t="shared" si="29"/>
        <v>0</v>
      </c>
    </row>
    <row r="174" spans="1:28">
      <c r="A174" s="231">
        <v>2185</v>
      </c>
      <c r="B174" s="4">
        <v>103263</v>
      </c>
      <c r="C174" s="4" t="s">
        <v>445</v>
      </c>
      <c r="D174" s="4" t="s">
        <v>446</v>
      </c>
      <c r="E174" s="4" t="s">
        <v>5</v>
      </c>
      <c r="F174" s="232" t="s">
        <v>415</v>
      </c>
      <c r="H174" s="212">
        <v>0</v>
      </c>
      <c r="I174" s="212"/>
      <c r="J174" s="212"/>
      <c r="K174" s="212">
        <v>32345.83</v>
      </c>
      <c r="L174" s="212"/>
      <c r="M174" s="212"/>
      <c r="N174" s="212">
        <v>0</v>
      </c>
      <c r="O174" s="212">
        <v>0</v>
      </c>
      <c r="P174" s="212">
        <v>0</v>
      </c>
      <c r="Q174" s="229">
        <f t="shared" si="28"/>
        <v>32345.83</v>
      </c>
      <c r="S174" s="37">
        <f t="shared" si="30"/>
        <v>0</v>
      </c>
      <c r="T174" s="37">
        <f t="shared" si="30"/>
        <v>0</v>
      </c>
      <c r="U174" s="37">
        <f t="shared" si="30"/>
        <v>0</v>
      </c>
      <c r="V174" s="37">
        <f t="shared" si="30"/>
        <v>0</v>
      </c>
      <c r="W174" s="37">
        <f t="shared" si="30"/>
        <v>0</v>
      </c>
      <c r="X174" s="37">
        <f t="shared" si="30"/>
        <v>0</v>
      </c>
      <c r="Y174" s="37">
        <f t="shared" si="30"/>
        <v>0</v>
      </c>
      <c r="Z174" s="37">
        <f t="shared" si="30"/>
        <v>0</v>
      </c>
      <c r="AA174" s="37">
        <f t="shared" si="30"/>
        <v>0</v>
      </c>
      <c r="AB174" s="64">
        <f t="shared" si="29"/>
        <v>0</v>
      </c>
    </row>
    <row r="175" spans="1:28">
      <c r="A175" s="231">
        <v>2464</v>
      </c>
      <c r="B175" s="4">
        <v>103390</v>
      </c>
      <c r="C175" s="4" t="s">
        <v>448</v>
      </c>
      <c r="D175" s="4" t="s">
        <v>449</v>
      </c>
      <c r="E175" s="4" t="s">
        <v>5</v>
      </c>
      <c r="F175" s="232" t="s">
        <v>415</v>
      </c>
      <c r="H175" s="212">
        <v>0</v>
      </c>
      <c r="I175" s="212"/>
      <c r="J175" s="212"/>
      <c r="K175" s="212">
        <v>29400</v>
      </c>
      <c r="L175" s="212"/>
      <c r="M175" s="212"/>
      <c r="N175" s="212">
        <v>0</v>
      </c>
      <c r="O175" s="212">
        <v>0</v>
      </c>
      <c r="P175" s="212">
        <v>0</v>
      </c>
      <c r="Q175" s="229">
        <f t="shared" si="28"/>
        <v>29400</v>
      </c>
      <c r="S175" s="37">
        <f t="shared" si="30"/>
        <v>0</v>
      </c>
      <c r="T175" s="37">
        <f t="shared" si="30"/>
        <v>0</v>
      </c>
      <c r="U175" s="37">
        <f t="shared" si="30"/>
        <v>0</v>
      </c>
      <c r="V175" s="37">
        <f t="shared" si="30"/>
        <v>0</v>
      </c>
      <c r="W175" s="37">
        <f t="shared" si="30"/>
        <v>0</v>
      </c>
      <c r="X175" s="37">
        <f t="shared" si="30"/>
        <v>0</v>
      </c>
      <c r="Y175" s="37">
        <f t="shared" si="30"/>
        <v>0</v>
      </c>
      <c r="Z175" s="37">
        <f t="shared" si="30"/>
        <v>0</v>
      </c>
      <c r="AA175" s="37">
        <f t="shared" si="30"/>
        <v>0</v>
      </c>
      <c r="AB175" s="64">
        <f t="shared" si="29"/>
        <v>0</v>
      </c>
    </row>
    <row r="176" spans="1:28">
      <c r="A176" s="231">
        <v>2454</v>
      </c>
      <c r="B176" s="4">
        <v>103381</v>
      </c>
      <c r="C176" s="4" t="s">
        <v>454</v>
      </c>
      <c r="D176" s="4" t="s">
        <v>455</v>
      </c>
      <c r="E176" s="4" t="s">
        <v>5</v>
      </c>
      <c r="F176" s="232" t="s">
        <v>415</v>
      </c>
      <c r="H176" s="212">
        <v>7592.33</v>
      </c>
      <c r="I176" s="212"/>
      <c r="J176" s="212"/>
      <c r="K176" s="212">
        <v>21560</v>
      </c>
      <c r="L176" s="212"/>
      <c r="M176" s="212"/>
      <c r="N176" s="212">
        <v>0</v>
      </c>
      <c r="O176" s="212">
        <v>0</v>
      </c>
      <c r="P176" s="212">
        <v>0</v>
      </c>
      <c r="Q176" s="229">
        <f t="shared" si="28"/>
        <v>29152.33</v>
      </c>
      <c r="S176" s="37">
        <f t="shared" si="30"/>
        <v>0</v>
      </c>
      <c r="T176" s="37">
        <f t="shared" si="30"/>
        <v>0</v>
      </c>
      <c r="U176" s="37">
        <f t="shared" si="30"/>
        <v>0</v>
      </c>
      <c r="V176" s="37">
        <f t="shared" si="30"/>
        <v>0</v>
      </c>
      <c r="W176" s="37">
        <f t="shared" si="30"/>
        <v>0</v>
      </c>
      <c r="X176" s="37">
        <f t="shared" si="30"/>
        <v>0</v>
      </c>
      <c r="Y176" s="37">
        <f t="shared" si="30"/>
        <v>0</v>
      </c>
      <c r="Z176" s="37">
        <f t="shared" si="30"/>
        <v>0</v>
      </c>
      <c r="AA176" s="37">
        <f t="shared" si="30"/>
        <v>0</v>
      </c>
      <c r="AB176" s="64">
        <f t="shared" si="29"/>
        <v>0</v>
      </c>
    </row>
    <row r="177" spans="1:28">
      <c r="A177" s="231">
        <v>3321</v>
      </c>
      <c r="B177" s="4">
        <v>103425</v>
      </c>
      <c r="C177" s="4" t="s">
        <v>457</v>
      </c>
      <c r="D177" s="4" t="s">
        <v>458</v>
      </c>
      <c r="E177" s="4" t="s">
        <v>5</v>
      </c>
      <c r="F177" s="232" t="s">
        <v>415</v>
      </c>
      <c r="H177" s="212">
        <v>0</v>
      </c>
      <c r="I177" s="212"/>
      <c r="J177" s="212"/>
      <c r="K177" s="212">
        <v>29971.67</v>
      </c>
      <c r="L177" s="212"/>
      <c r="M177" s="212"/>
      <c r="N177" s="212">
        <v>0</v>
      </c>
      <c r="O177" s="212">
        <v>0</v>
      </c>
      <c r="P177" s="212">
        <v>0</v>
      </c>
      <c r="Q177" s="229">
        <f t="shared" si="28"/>
        <v>29971.67</v>
      </c>
      <c r="S177" s="37">
        <f t="shared" si="30"/>
        <v>0</v>
      </c>
      <c r="T177" s="37">
        <f t="shared" si="30"/>
        <v>0</v>
      </c>
      <c r="U177" s="37">
        <f t="shared" si="30"/>
        <v>0</v>
      </c>
      <c r="V177" s="37">
        <f t="shared" si="30"/>
        <v>0</v>
      </c>
      <c r="W177" s="37">
        <f t="shared" si="30"/>
        <v>0</v>
      </c>
      <c r="X177" s="37">
        <f t="shared" si="30"/>
        <v>0</v>
      </c>
      <c r="Y177" s="37">
        <f t="shared" si="30"/>
        <v>0</v>
      </c>
      <c r="Z177" s="37">
        <f t="shared" si="30"/>
        <v>0</v>
      </c>
      <c r="AA177" s="37">
        <f t="shared" si="30"/>
        <v>0</v>
      </c>
      <c r="AB177" s="64">
        <f t="shared" si="29"/>
        <v>0</v>
      </c>
    </row>
    <row r="178" spans="1:28">
      <c r="A178" s="231">
        <v>3435</v>
      </c>
      <c r="B178" s="4">
        <v>131920</v>
      </c>
      <c r="C178" s="4" t="s">
        <v>460</v>
      </c>
      <c r="D178" s="4" t="s">
        <v>461</v>
      </c>
      <c r="E178" s="4" t="s">
        <v>5</v>
      </c>
      <c r="F178" s="232" t="s">
        <v>415</v>
      </c>
      <c r="H178" s="212">
        <v>0</v>
      </c>
      <c r="I178" s="212"/>
      <c r="J178" s="212"/>
      <c r="K178" s="212">
        <v>50945</v>
      </c>
      <c r="L178" s="212"/>
      <c r="M178" s="212"/>
      <c r="N178" s="212">
        <v>0</v>
      </c>
      <c r="O178" s="212">
        <v>0</v>
      </c>
      <c r="P178" s="212">
        <v>0</v>
      </c>
      <c r="Q178" s="229">
        <f t="shared" si="28"/>
        <v>50945</v>
      </c>
      <c r="S178" s="37">
        <f t="shared" si="30"/>
        <v>0</v>
      </c>
      <c r="T178" s="37">
        <f t="shared" si="30"/>
        <v>0</v>
      </c>
      <c r="U178" s="37">
        <f t="shared" si="30"/>
        <v>0</v>
      </c>
      <c r="V178" s="37">
        <f t="shared" si="30"/>
        <v>0</v>
      </c>
      <c r="W178" s="37">
        <f t="shared" si="30"/>
        <v>0</v>
      </c>
      <c r="X178" s="37">
        <f t="shared" si="30"/>
        <v>0</v>
      </c>
      <c r="Y178" s="37">
        <f t="shared" si="30"/>
        <v>0</v>
      </c>
      <c r="Z178" s="37">
        <f t="shared" si="30"/>
        <v>0</v>
      </c>
      <c r="AA178" s="37">
        <f t="shared" si="30"/>
        <v>0</v>
      </c>
      <c r="AB178" s="64">
        <f t="shared" si="29"/>
        <v>0</v>
      </c>
    </row>
    <row r="179" spans="1:28">
      <c r="A179" s="231">
        <v>7050</v>
      </c>
      <c r="B179" s="4">
        <v>103625</v>
      </c>
      <c r="C179" s="4" t="s">
        <v>463</v>
      </c>
      <c r="D179" s="4" t="s">
        <v>464</v>
      </c>
      <c r="E179" s="4" t="s">
        <v>1093</v>
      </c>
      <c r="F179" s="232" t="s">
        <v>415</v>
      </c>
      <c r="H179" s="212">
        <v>27000</v>
      </c>
      <c r="I179" s="212"/>
      <c r="J179" s="212"/>
      <c r="K179" s="212">
        <v>0</v>
      </c>
      <c r="L179" s="212"/>
      <c r="M179" s="212"/>
      <c r="N179" s="212">
        <v>0</v>
      </c>
      <c r="O179" s="212">
        <v>0</v>
      </c>
      <c r="P179" s="212">
        <v>0</v>
      </c>
      <c r="Q179" s="229">
        <f t="shared" si="28"/>
        <v>27000</v>
      </c>
      <c r="S179" s="37">
        <f t="shared" si="30"/>
        <v>0</v>
      </c>
      <c r="T179" s="37">
        <f t="shared" si="30"/>
        <v>0</v>
      </c>
      <c r="U179" s="37">
        <f t="shared" si="30"/>
        <v>0</v>
      </c>
      <c r="V179" s="37">
        <f t="shared" si="30"/>
        <v>0</v>
      </c>
      <c r="W179" s="37">
        <f t="shared" si="30"/>
        <v>0</v>
      </c>
      <c r="X179" s="37">
        <f t="shared" si="30"/>
        <v>0</v>
      </c>
      <c r="Y179" s="37">
        <f t="shared" si="30"/>
        <v>0</v>
      </c>
      <c r="Z179" s="37">
        <f t="shared" si="30"/>
        <v>0</v>
      </c>
      <c r="AA179" s="37">
        <f t="shared" si="30"/>
        <v>0</v>
      </c>
      <c r="AB179" s="64">
        <f t="shared" si="29"/>
        <v>0</v>
      </c>
    </row>
    <row r="180" spans="1:28">
      <c r="A180" s="231">
        <v>2081</v>
      </c>
      <c r="B180" s="4">
        <v>103201</v>
      </c>
      <c r="C180" s="4" t="s">
        <v>466</v>
      </c>
      <c r="D180" s="4" t="s">
        <v>467</v>
      </c>
      <c r="E180" s="4" t="s">
        <v>5</v>
      </c>
      <c r="F180" s="232" t="s">
        <v>415</v>
      </c>
      <c r="H180" s="212">
        <v>0</v>
      </c>
      <c r="I180" s="212"/>
      <c r="J180" s="212"/>
      <c r="K180" s="212">
        <v>26716.67</v>
      </c>
      <c r="L180" s="212"/>
      <c r="M180" s="212"/>
      <c r="N180" s="212">
        <v>0</v>
      </c>
      <c r="O180" s="212">
        <v>0</v>
      </c>
      <c r="P180" s="212">
        <v>0</v>
      </c>
      <c r="Q180" s="229">
        <f t="shared" si="28"/>
        <v>26716.67</v>
      </c>
      <c r="S180" s="37">
        <f t="shared" si="30"/>
        <v>0</v>
      </c>
      <c r="T180" s="37">
        <f t="shared" si="30"/>
        <v>0</v>
      </c>
      <c r="U180" s="37">
        <f t="shared" si="30"/>
        <v>0</v>
      </c>
      <c r="V180" s="37">
        <f t="shared" si="30"/>
        <v>0</v>
      </c>
      <c r="W180" s="37">
        <f t="shared" si="30"/>
        <v>0</v>
      </c>
      <c r="X180" s="37">
        <f t="shared" si="30"/>
        <v>0</v>
      </c>
      <c r="Y180" s="37">
        <f t="shared" si="30"/>
        <v>0</v>
      </c>
      <c r="Z180" s="37">
        <f t="shared" si="30"/>
        <v>0</v>
      </c>
      <c r="AA180" s="37">
        <f t="shared" si="30"/>
        <v>0</v>
      </c>
      <c r="AB180" s="64">
        <f t="shared" si="29"/>
        <v>0</v>
      </c>
    </row>
    <row r="181" spans="1:28">
      <c r="A181" s="231">
        <v>2093</v>
      </c>
      <c r="B181" s="4">
        <v>103210</v>
      </c>
      <c r="C181" s="4" t="s">
        <v>469</v>
      </c>
      <c r="D181" s="4" t="s">
        <v>470</v>
      </c>
      <c r="E181" s="4" t="s">
        <v>5</v>
      </c>
      <c r="F181" s="232" t="s">
        <v>415</v>
      </c>
      <c r="H181" s="212">
        <v>0</v>
      </c>
      <c r="I181" s="212"/>
      <c r="J181" s="212"/>
      <c r="K181" s="212">
        <v>21758.33</v>
      </c>
      <c r="L181" s="212"/>
      <c r="M181" s="212"/>
      <c r="N181" s="212">
        <v>0</v>
      </c>
      <c r="O181" s="212">
        <v>0</v>
      </c>
      <c r="P181" s="212">
        <v>0</v>
      </c>
      <c r="Q181" s="229">
        <f t="shared" si="28"/>
        <v>21758.33</v>
      </c>
      <c r="S181" s="37">
        <f t="shared" si="30"/>
        <v>0</v>
      </c>
      <c r="T181" s="37">
        <f t="shared" si="30"/>
        <v>0</v>
      </c>
      <c r="U181" s="37">
        <f t="shared" si="30"/>
        <v>0</v>
      </c>
      <c r="V181" s="37">
        <f t="shared" si="30"/>
        <v>0</v>
      </c>
      <c r="W181" s="37">
        <f t="shared" si="30"/>
        <v>0</v>
      </c>
      <c r="X181" s="37">
        <f t="shared" si="30"/>
        <v>0</v>
      </c>
      <c r="Y181" s="37">
        <f t="shared" si="30"/>
        <v>0</v>
      </c>
      <c r="Z181" s="37">
        <f t="shared" si="30"/>
        <v>0</v>
      </c>
      <c r="AA181" s="37">
        <f t="shared" si="30"/>
        <v>0</v>
      </c>
      <c r="AB181" s="64">
        <f t="shared" si="29"/>
        <v>0</v>
      </c>
    </row>
    <row r="182" spans="1:28">
      <c r="A182" s="231">
        <v>2099</v>
      </c>
      <c r="B182" s="4">
        <v>103214</v>
      </c>
      <c r="C182" s="4" t="s">
        <v>472</v>
      </c>
      <c r="D182" s="4" t="s">
        <v>473</v>
      </c>
      <c r="E182" s="4" t="s">
        <v>5</v>
      </c>
      <c r="F182" s="232" t="s">
        <v>415</v>
      </c>
      <c r="H182" s="212">
        <v>0</v>
      </c>
      <c r="I182" s="212"/>
      <c r="J182" s="212"/>
      <c r="K182" s="212">
        <v>6871</v>
      </c>
      <c r="L182" s="212"/>
      <c r="M182" s="212"/>
      <c r="N182" s="212">
        <v>0</v>
      </c>
      <c r="O182" s="212">
        <v>0</v>
      </c>
      <c r="P182" s="212">
        <v>0</v>
      </c>
      <c r="Q182" s="229">
        <f t="shared" si="28"/>
        <v>6871</v>
      </c>
      <c r="S182" s="37">
        <f t="shared" ref="S182:AA191" si="31">SUMIF($H$3:$P$3,S$6,$H182:$P182)</f>
        <v>0</v>
      </c>
      <c r="T182" s="37">
        <f t="shared" si="31"/>
        <v>0</v>
      </c>
      <c r="U182" s="37">
        <f t="shared" si="31"/>
        <v>0</v>
      </c>
      <c r="V182" s="37">
        <f t="shared" si="31"/>
        <v>0</v>
      </c>
      <c r="W182" s="37">
        <f t="shared" si="31"/>
        <v>0</v>
      </c>
      <c r="X182" s="37">
        <f t="shared" si="31"/>
        <v>0</v>
      </c>
      <c r="Y182" s="37">
        <f t="shared" si="31"/>
        <v>0</v>
      </c>
      <c r="Z182" s="37">
        <f t="shared" si="31"/>
        <v>0</v>
      </c>
      <c r="AA182" s="37">
        <f t="shared" si="31"/>
        <v>0</v>
      </c>
      <c r="AB182" s="64">
        <f t="shared" si="29"/>
        <v>0</v>
      </c>
    </row>
    <row r="183" spans="1:28">
      <c r="A183" s="231">
        <v>2189</v>
      </c>
      <c r="B183" s="4">
        <v>103265</v>
      </c>
      <c r="C183" s="4" t="s">
        <v>475</v>
      </c>
      <c r="D183" s="4" t="s">
        <v>476</v>
      </c>
      <c r="E183" s="4" t="s">
        <v>5</v>
      </c>
      <c r="F183" s="232" t="s">
        <v>415</v>
      </c>
      <c r="H183" s="212">
        <v>0</v>
      </c>
      <c r="I183" s="212"/>
      <c r="J183" s="212"/>
      <c r="K183" s="212">
        <v>28735</v>
      </c>
      <c r="L183" s="212"/>
      <c r="M183" s="212"/>
      <c r="N183" s="212">
        <v>0</v>
      </c>
      <c r="O183" s="212">
        <v>0</v>
      </c>
      <c r="P183" s="212">
        <v>0</v>
      </c>
      <c r="Q183" s="229">
        <f t="shared" si="28"/>
        <v>28735</v>
      </c>
      <c r="S183" s="37">
        <f t="shared" si="31"/>
        <v>0</v>
      </c>
      <c r="T183" s="37">
        <f t="shared" si="31"/>
        <v>0</v>
      </c>
      <c r="U183" s="37">
        <f t="shared" si="31"/>
        <v>0</v>
      </c>
      <c r="V183" s="37">
        <f t="shared" si="31"/>
        <v>0</v>
      </c>
      <c r="W183" s="37">
        <f t="shared" si="31"/>
        <v>0</v>
      </c>
      <c r="X183" s="37">
        <f t="shared" si="31"/>
        <v>0</v>
      </c>
      <c r="Y183" s="37">
        <f t="shared" si="31"/>
        <v>0</v>
      </c>
      <c r="Z183" s="37">
        <f t="shared" si="31"/>
        <v>0</v>
      </c>
      <c r="AA183" s="37">
        <f t="shared" si="31"/>
        <v>0</v>
      </c>
      <c r="AB183" s="64">
        <f t="shared" si="29"/>
        <v>0</v>
      </c>
    </row>
    <row r="184" spans="1:28">
      <c r="A184" s="231">
        <v>7060</v>
      </c>
      <c r="B184" s="4">
        <v>103630</v>
      </c>
      <c r="C184" s="4" t="s">
        <v>478</v>
      </c>
      <c r="D184" s="4" t="s">
        <v>479</v>
      </c>
      <c r="E184" s="4" t="s">
        <v>1093</v>
      </c>
      <c r="F184" s="232" t="s">
        <v>415</v>
      </c>
      <c r="H184" s="212">
        <v>34500</v>
      </c>
      <c r="I184" s="212"/>
      <c r="J184" s="212"/>
      <c r="K184" s="212">
        <v>0</v>
      </c>
      <c r="L184" s="212"/>
      <c r="M184" s="212"/>
      <c r="N184" s="212">
        <v>0</v>
      </c>
      <c r="O184" s="212">
        <v>0</v>
      </c>
      <c r="P184" s="212">
        <v>0</v>
      </c>
      <c r="Q184" s="229">
        <f t="shared" si="28"/>
        <v>34500</v>
      </c>
      <c r="S184" s="37">
        <f t="shared" si="31"/>
        <v>0</v>
      </c>
      <c r="T184" s="37">
        <f t="shared" si="31"/>
        <v>0</v>
      </c>
      <c r="U184" s="37">
        <f t="shared" si="31"/>
        <v>0</v>
      </c>
      <c r="V184" s="37">
        <f t="shared" si="31"/>
        <v>0</v>
      </c>
      <c r="W184" s="37">
        <f t="shared" si="31"/>
        <v>0</v>
      </c>
      <c r="X184" s="37">
        <f t="shared" si="31"/>
        <v>0</v>
      </c>
      <c r="Y184" s="37">
        <f t="shared" si="31"/>
        <v>0</v>
      </c>
      <c r="Z184" s="37">
        <f t="shared" si="31"/>
        <v>0</v>
      </c>
      <c r="AA184" s="37">
        <f t="shared" si="31"/>
        <v>0</v>
      </c>
      <c r="AB184" s="64">
        <f t="shared" si="29"/>
        <v>0</v>
      </c>
    </row>
    <row r="185" spans="1:28">
      <c r="A185" s="231">
        <v>7012</v>
      </c>
      <c r="B185" s="4">
        <v>103603</v>
      </c>
      <c r="C185" s="4" t="s">
        <v>481</v>
      </c>
      <c r="D185" s="4" t="s">
        <v>482</v>
      </c>
      <c r="E185" s="4" t="s">
        <v>1093</v>
      </c>
      <c r="F185" s="232" t="s">
        <v>415</v>
      </c>
      <c r="H185" s="212">
        <v>22050</v>
      </c>
      <c r="I185" s="212"/>
      <c r="J185" s="212"/>
      <c r="K185" s="212">
        <v>0</v>
      </c>
      <c r="L185" s="212"/>
      <c r="M185" s="212"/>
      <c r="N185" s="212">
        <v>0</v>
      </c>
      <c r="O185" s="212">
        <v>0</v>
      </c>
      <c r="P185" s="212">
        <v>0</v>
      </c>
      <c r="Q185" s="229">
        <f t="shared" si="28"/>
        <v>22050</v>
      </c>
      <c r="S185" s="37">
        <f t="shared" si="31"/>
        <v>0</v>
      </c>
      <c r="T185" s="37">
        <f t="shared" si="31"/>
        <v>0</v>
      </c>
      <c r="U185" s="37">
        <f t="shared" si="31"/>
        <v>0</v>
      </c>
      <c r="V185" s="37">
        <f t="shared" si="31"/>
        <v>0</v>
      </c>
      <c r="W185" s="37">
        <f t="shared" si="31"/>
        <v>0</v>
      </c>
      <c r="X185" s="37">
        <f t="shared" si="31"/>
        <v>0</v>
      </c>
      <c r="Y185" s="37">
        <f t="shared" si="31"/>
        <v>0</v>
      </c>
      <c r="Z185" s="37">
        <f t="shared" si="31"/>
        <v>0</v>
      </c>
      <c r="AA185" s="37">
        <f t="shared" si="31"/>
        <v>0</v>
      </c>
      <c r="AB185" s="64">
        <f t="shared" si="29"/>
        <v>0</v>
      </c>
    </row>
    <row r="186" spans="1:28">
      <c r="A186" s="231">
        <v>2420</v>
      </c>
      <c r="B186" s="4">
        <v>103353</v>
      </c>
      <c r="C186" s="4" t="s">
        <v>484</v>
      </c>
      <c r="D186" s="4" t="s">
        <v>485</v>
      </c>
      <c r="E186" s="4" t="s">
        <v>5</v>
      </c>
      <c r="F186" s="232" t="s">
        <v>415</v>
      </c>
      <c r="H186" s="212">
        <v>0</v>
      </c>
      <c r="I186" s="212"/>
      <c r="J186" s="212"/>
      <c r="K186" s="212">
        <v>29250</v>
      </c>
      <c r="L186" s="212"/>
      <c r="M186" s="212"/>
      <c r="N186" s="212">
        <v>0</v>
      </c>
      <c r="O186" s="212">
        <v>0</v>
      </c>
      <c r="P186" s="212">
        <v>0</v>
      </c>
      <c r="Q186" s="229">
        <f t="shared" si="28"/>
        <v>29250</v>
      </c>
      <c r="S186" s="37">
        <f t="shared" si="31"/>
        <v>0</v>
      </c>
      <c r="T186" s="37">
        <f t="shared" si="31"/>
        <v>0</v>
      </c>
      <c r="U186" s="37">
        <f t="shared" si="31"/>
        <v>0</v>
      </c>
      <c r="V186" s="37">
        <f t="shared" si="31"/>
        <v>0</v>
      </c>
      <c r="W186" s="37">
        <f t="shared" si="31"/>
        <v>0</v>
      </c>
      <c r="X186" s="37">
        <f t="shared" si="31"/>
        <v>0</v>
      </c>
      <c r="Y186" s="37">
        <f t="shared" si="31"/>
        <v>0</v>
      </c>
      <c r="Z186" s="37">
        <f t="shared" si="31"/>
        <v>0</v>
      </c>
      <c r="AA186" s="37">
        <f t="shared" si="31"/>
        <v>0</v>
      </c>
      <c r="AB186" s="64">
        <f t="shared" si="29"/>
        <v>0</v>
      </c>
    </row>
    <row r="187" spans="1:28">
      <c r="A187" s="231">
        <v>2406</v>
      </c>
      <c r="B187" s="4">
        <v>103345</v>
      </c>
      <c r="C187" s="4" t="s">
        <v>487</v>
      </c>
      <c r="D187" s="4" t="s">
        <v>488</v>
      </c>
      <c r="E187" s="4" t="s">
        <v>5</v>
      </c>
      <c r="F187" s="232" t="s">
        <v>415</v>
      </c>
      <c r="H187" s="212">
        <v>0</v>
      </c>
      <c r="I187" s="212"/>
      <c r="J187" s="212"/>
      <c r="K187" s="212">
        <v>15225</v>
      </c>
      <c r="L187" s="212"/>
      <c r="M187" s="212"/>
      <c r="N187" s="212">
        <v>0</v>
      </c>
      <c r="O187" s="212">
        <v>0</v>
      </c>
      <c r="P187" s="212">
        <v>0</v>
      </c>
      <c r="Q187" s="229">
        <f t="shared" si="28"/>
        <v>15225</v>
      </c>
      <c r="S187" s="37">
        <f t="shared" si="31"/>
        <v>0</v>
      </c>
      <c r="T187" s="37">
        <f t="shared" si="31"/>
        <v>0</v>
      </c>
      <c r="U187" s="37">
        <f t="shared" si="31"/>
        <v>0</v>
      </c>
      <c r="V187" s="37">
        <f t="shared" si="31"/>
        <v>0</v>
      </c>
      <c r="W187" s="37">
        <f t="shared" si="31"/>
        <v>0</v>
      </c>
      <c r="X187" s="37">
        <f t="shared" si="31"/>
        <v>0</v>
      </c>
      <c r="Y187" s="37">
        <f t="shared" si="31"/>
        <v>0</v>
      </c>
      <c r="Z187" s="37">
        <f t="shared" si="31"/>
        <v>0</v>
      </c>
      <c r="AA187" s="37">
        <f t="shared" si="31"/>
        <v>0</v>
      </c>
      <c r="AB187" s="64">
        <f t="shared" si="29"/>
        <v>0</v>
      </c>
    </row>
    <row r="188" spans="1:28">
      <c r="A188" s="231">
        <v>3351</v>
      </c>
      <c r="B188" s="4">
        <v>103443</v>
      </c>
      <c r="C188" s="4" t="s">
        <v>490</v>
      </c>
      <c r="D188" s="4" t="s">
        <v>491</v>
      </c>
      <c r="E188" s="4" t="s">
        <v>5</v>
      </c>
      <c r="F188" s="232" t="s">
        <v>415</v>
      </c>
      <c r="H188" s="212">
        <v>0</v>
      </c>
      <c r="I188" s="212"/>
      <c r="J188" s="212"/>
      <c r="K188" s="212">
        <v>11375</v>
      </c>
      <c r="L188" s="212"/>
      <c r="M188" s="212"/>
      <c r="N188" s="212">
        <v>0</v>
      </c>
      <c r="O188" s="212">
        <v>0</v>
      </c>
      <c r="P188" s="212">
        <v>0</v>
      </c>
      <c r="Q188" s="229">
        <f t="shared" si="28"/>
        <v>11375</v>
      </c>
      <c r="S188" s="37">
        <f t="shared" si="31"/>
        <v>0</v>
      </c>
      <c r="T188" s="37">
        <f t="shared" si="31"/>
        <v>0</v>
      </c>
      <c r="U188" s="37">
        <f t="shared" si="31"/>
        <v>0</v>
      </c>
      <c r="V188" s="37">
        <f t="shared" si="31"/>
        <v>0</v>
      </c>
      <c r="W188" s="37">
        <f t="shared" si="31"/>
        <v>0</v>
      </c>
      <c r="X188" s="37">
        <f t="shared" si="31"/>
        <v>0</v>
      </c>
      <c r="Y188" s="37">
        <f t="shared" si="31"/>
        <v>0</v>
      </c>
      <c r="Z188" s="37">
        <f t="shared" si="31"/>
        <v>0</v>
      </c>
      <c r="AA188" s="37">
        <f t="shared" si="31"/>
        <v>0</v>
      </c>
      <c r="AB188" s="64">
        <f t="shared" si="29"/>
        <v>0</v>
      </c>
    </row>
    <row r="189" spans="1:28">
      <c r="A189" s="231">
        <v>3328</v>
      </c>
      <c r="B189" s="4">
        <v>103430</v>
      </c>
      <c r="C189" s="4" t="s">
        <v>493</v>
      </c>
      <c r="D189" s="4" t="s">
        <v>494</v>
      </c>
      <c r="E189" s="4" t="s">
        <v>5</v>
      </c>
      <c r="F189" s="232" t="s">
        <v>415</v>
      </c>
      <c r="H189" s="212">
        <v>0</v>
      </c>
      <c r="I189" s="212"/>
      <c r="J189" s="212"/>
      <c r="K189" s="212">
        <v>12310</v>
      </c>
      <c r="L189" s="212"/>
      <c r="M189" s="212"/>
      <c r="N189" s="212">
        <v>0</v>
      </c>
      <c r="O189" s="212">
        <v>0</v>
      </c>
      <c r="P189" s="212">
        <v>0</v>
      </c>
      <c r="Q189" s="229">
        <f t="shared" si="28"/>
        <v>12310</v>
      </c>
      <c r="S189" s="37">
        <f t="shared" si="31"/>
        <v>0</v>
      </c>
      <c r="T189" s="37">
        <f t="shared" si="31"/>
        <v>0</v>
      </c>
      <c r="U189" s="37">
        <f t="shared" si="31"/>
        <v>0</v>
      </c>
      <c r="V189" s="37">
        <f t="shared" si="31"/>
        <v>0</v>
      </c>
      <c r="W189" s="37">
        <f t="shared" si="31"/>
        <v>0</v>
      </c>
      <c r="X189" s="37">
        <f t="shared" si="31"/>
        <v>0</v>
      </c>
      <c r="Y189" s="37">
        <f t="shared" si="31"/>
        <v>0</v>
      </c>
      <c r="Z189" s="37">
        <f t="shared" si="31"/>
        <v>0</v>
      </c>
      <c r="AA189" s="37">
        <f t="shared" si="31"/>
        <v>0</v>
      </c>
      <c r="AB189" s="64">
        <f t="shared" si="29"/>
        <v>0</v>
      </c>
    </row>
    <row r="190" spans="1:28">
      <c r="A190" s="231">
        <v>2160</v>
      </c>
      <c r="B190" s="4">
        <v>103248</v>
      </c>
      <c r="C190" s="4" t="s">
        <v>496</v>
      </c>
      <c r="D190" s="4" t="s">
        <v>497</v>
      </c>
      <c r="E190" s="4" t="s">
        <v>5</v>
      </c>
      <c r="F190" s="232" t="s">
        <v>415</v>
      </c>
      <c r="H190" s="212">
        <v>0</v>
      </c>
      <c r="I190" s="212"/>
      <c r="J190" s="212"/>
      <c r="K190" s="212">
        <v>21157.5</v>
      </c>
      <c r="L190" s="212"/>
      <c r="M190" s="212"/>
      <c r="N190" s="212">
        <v>0</v>
      </c>
      <c r="O190" s="212">
        <v>0</v>
      </c>
      <c r="P190" s="212">
        <v>0</v>
      </c>
      <c r="Q190" s="229">
        <f t="shared" si="28"/>
        <v>21157.5</v>
      </c>
      <c r="S190" s="37">
        <f t="shared" si="31"/>
        <v>0</v>
      </c>
      <c r="T190" s="37">
        <f t="shared" si="31"/>
        <v>0</v>
      </c>
      <c r="U190" s="37">
        <f t="shared" si="31"/>
        <v>0</v>
      </c>
      <c r="V190" s="37">
        <f t="shared" si="31"/>
        <v>0</v>
      </c>
      <c r="W190" s="37">
        <f t="shared" si="31"/>
        <v>0</v>
      </c>
      <c r="X190" s="37">
        <f t="shared" si="31"/>
        <v>0</v>
      </c>
      <c r="Y190" s="37">
        <f t="shared" si="31"/>
        <v>0</v>
      </c>
      <c r="Z190" s="37">
        <f t="shared" si="31"/>
        <v>0</v>
      </c>
      <c r="AA190" s="37">
        <f t="shared" si="31"/>
        <v>0</v>
      </c>
      <c r="AB190" s="64">
        <f t="shared" si="29"/>
        <v>0</v>
      </c>
    </row>
    <row r="191" spans="1:28">
      <c r="A191" s="231">
        <v>2063</v>
      </c>
      <c r="B191" s="4">
        <v>103193</v>
      </c>
      <c r="C191" s="4" t="s">
        <v>499</v>
      </c>
      <c r="D191" s="4" t="s">
        <v>500</v>
      </c>
      <c r="E191" s="4" t="s">
        <v>5</v>
      </c>
      <c r="F191" s="232" t="s">
        <v>415</v>
      </c>
      <c r="H191" s="212">
        <v>0</v>
      </c>
      <c r="I191" s="212"/>
      <c r="J191" s="212"/>
      <c r="K191" s="212">
        <v>14770</v>
      </c>
      <c r="L191" s="212"/>
      <c r="M191" s="212"/>
      <c r="N191" s="212">
        <v>0</v>
      </c>
      <c r="O191" s="212">
        <v>0</v>
      </c>
      <c r="P191" s="212">
        <v>82213.5</v>
      </c>
      <c r="Q191" s="229">
        <f t="shared" si="28"/>
        <v>96983.5</v>
      </c>
      <c r="S191" s="37">
        <f t="shared" si="31"/>
        <v>82213.5</v>
      </c>
      <c r="T191" s="37">
        <f t="shared" si="31"/>
        <v>0</v>
      </c>
      <c r="U191" s="37">
        <f t="shared" si="31"/>
        <v>0</v>
      </c>
      <c r="V191" s="37">
        <f t="shared" si="31"/>
        <v>0</v>
      </c>
      <c r="W191" s="37">
        <f t="shared" si="31"/>
        <v>0</v>
      </c>
      <c r="X191" s="37">
        <f t="shared" si="31"/>
        <v>0</v>
      </c>
      <c r="Y191" s="37">
        <f t="shared" si="31"/>
        <v>0</v>
      </c>
      <c r="Z191" s="37">
        <f t="shared" si="31"/>
        <v>0</v>
      </c>
      <c r="AA191" s="37">
        <f t="shared" si="31"/>
        <v>0</v>
      </c>
      <c r="AB191" s="64">
        <f t="shared" si="29"/>
        <v>0</v>
      </c>
    </row>
    <row r="192" spans="1:28">
      <c r="A192" s="231">
        <v>2008</v>
      </c>
      <c r="B192" s="4">
        <v>103157</v>
      </c>
      <c r="C192" s="4" t="s">
        <v>502</v>
      </c>
      <c r="D192" s="4" t="s">
        <v>503</v>
      </c>
      <c r="E192" s="4" t="s">
        <v>5</v>
      </c>
      <c r="F192" s="232" t="s">
        <v>415</v>
      </c>
      <c r="H192" s="212">
        <v>0</v>
      </c>
      <c r="I192" s="212"/>
      <c r="J192" s="212"/>
      <c r="K192" s="212">
        <v>32028.33</v>
      </c>
      <c r="L192" s="212"/>
      <c r="M192" s="212"/>
      <c r="N192" s="212">
        <v>0</v>
      </c>
      <c r="O192" s="212">
        <v>0</v>
      </c>
      <c r="P192" s="212">
        <v>0</v>
      </c>
      <c r="Q192" s="229">
        <f t="shared" si="28"/>
        <v>32028.33</v>
      </c>
      <c r="S192" s="37">
        <f t="shared" ref="S192:AA201" si="32">SUMIF($H$3:$P$3,S$6,$H192:$P192)</f>
        <v>0</v>
      </c>
      <c r="T192" s="37">
        <f t="shared" si="32"/>
        <v>0</v>
      </c>
      <c r="U192" s="37">
        <f t="shared" si="32"/>
        <v>0</v>
      </c>
      <c r="V192" s="37">
        <f t="shared" si="32"/>
        <v>0</v>
      </c>
      <c r="W192" s="37">
        <f t="shared" si="32"/>
        <v>0</v>
      </c>
      <c r="X192" s="37">
        <f t="shared" si="32"/>
        <v>0</v>
      </c>
      <c r="Y192" s="37">
        <f t="shared" si="32"/>
        <v>0</v>
      </c>
      <c r="Z192" s="37">
        <f t="shared" si="32"/>
        <v>0</v>
      </c>
      <c r="AA192" s="37">
        <f t="shared" si="32"/>
        <v>0</v>
      </c>
      <c r="AB192" s="64">
        <f t="shared" si="29"/>
        <v>0</v>
      </c>
    </row>
    <row r="193" spans="1:28">
      <c r="A193" s="231">
        <v>2176</v>
      </c>
      <c r="B193" s="4">
        <v>103256</v>
      </c>
      <c r="C193" s="4" t="s">
        <v>505</v>
      </c>
      <c r="D193" s="4" t="s">
        <v>506</v>
      </c>
      <c r="E193" s="4" t="s">
        <v>5</v>
      </c>
      <c r="F193" s="232" t="s">
        <v>415</v>
      </c>
      <c r="H193" s="212">
        <v>1450</v>
      </c>
      <c r="I193" s="212"/>
      <c r="J193" s="212"/>
      <c r="K193" s="212">
        <v>102899.33</v>
      </c>
      <c r="L193" s="212"/>
      <c r="M193" s="212"/>
      <c r="N193" s="212">
        <v>0</v>
      </c>
      <c r="O193" s="212">
        <v>0</v>
      </c>
      <c r="P193" s="212">
        <v>0</v>
      </c>
      <c r="Q193" s="229">
        <f t="shared" si="28"/>
        <v>104349.33</v>
      </c>
      <c r="S193" s="37">
        <f t="shared" si="32"/>
        <v>0</v>
      </c>
      <c r="T193" s="37">
        <f t="shared" si="32"/>
        <v>0</v>
      </c>
      <c r="U193" s="37">
        <f t="shared" si="32"/>
        <v>0</v>
      </c>
      <c r="V193" s="37">
        <f t="shared" si="32"/>
        <v>0</v>
      </c>
      <c r="W193" s="37">
        <f t="shared" si="32"/>
        <v>0</v>
      </c>
      <c r="X193" s="37">
        <f t="shared" si="32"/>
        <v>0</v>
      </c>
      <c r="Y193" s="37">
        <f t="shared" si="32"/>
        <v>0</v>
      </c>
      <c r="Z193" s="37">
        <f t="shared" si="32"/>
        <v>0</v>
      </c>
      <c r="AA193" s="37">
        <f t="shared" si="32"/>
        <v>0</v>
      </c>
      <c r="AB193" s="64">
        <f t="shared" si="29"/>
        <v>0</v>
      </c>
    </row>
    <row r="194" spans="1:28">
      <c r="A194" s="231">
        <v>3410</v>
      </c>
      <c r="B194" s="4">
        <v>103478</v>
      </c>
      <c r="C194" s="4" t="s">
        <v>508</v>
      </c>
      <c r="D194" s="4" t="s">
        <v>509</v>
      </c>
      <c r="E194" s="4" t="s">
        <v>5</v>
      </c>
      <c r="F194" s="232" t="s">
        <v>415</v>
      </c>
      <c r="H194" s="212">
        <v>0</v>
      </c>
      <c r="I194" s="212"/>
      <c r="J194" s="212"/>
      <c r="K194" s="212">
        <v>5985</v>
      </c>
      <c r="L194" s="212"/>
      <c r="M194" s="212"/>
      <c r="N194" s="212">
        <v>0</v>
      </c>
      <c r="O194" s="212">
        <v>0</v>
      </c>
      <c r="P194" s="212">
        <v>0</v>
      </c>
      <c r="Q194" s="229">
        <f t="shared" si="28"/>
        <v>5985</v>
      </c>
      <c r="S194" s="37">
        <f t="shared" si="32"/>
        <v>0</v>
      </c>
      <c r="T194" s="37">
        <f t="shared" si="32"/>
        <v>0</v>
      </c>
      <c r="U194" s="37">
        <f t="shared" si="32"/>
        <v>0</v>
      </c>
      <c r="V194" s="37">
        <f t="shared" si="32"/>
        <v>0</v>
      </c>
      <c r="W194" s="37">
        <f t="shared" si="32"/>
        <v>0</v>
      </c>
      <c r="X194" s="37">
        <f t="shared" si="32"/>
        <v>0</v>
      </c>
      <c r="Y194" s="37">
        <f t="shared" si="32"/>
        <v>0</v>
      </c>
      <c r="Z194" s="37">
        <f t="shared" si="32"/>
        <v>0</v>
      </c>
      <c r="AA194" s="37">
        <f t="shared" si="32"/>
        <v>0</v>
      </c>
      <c r="AB194" s="64">
        <f t="shared" si="29"/>
        <v>0</v>
      </c>
    </row>
    <row r="195" spans="1:28">
      <c r="A195" s="231">
        <v>3380</v>
      </c>
      <c r="B195" s="4">
        <v>103465</v>
      </c>
      <c r="C195" s="4" t="s">
        <v>511</v>
      </c>
      <c r="D195" s="4" t="s">
        <v>512</v>
      </c>
      <c r="E195" s="4" t="s">
        <v>5</v>
      </c>
      <c r="F195" s="232" t="s">
        <v>415</v>
      </c>
      <c r="H195" s="212">
        <v>0</v>
      </c>
      <c r="I195" s="212"/>
      <c r="J195" s="212"/>
      <c r="K195" s="212">
        <v>12320</v>
      </c>
      <c r="L195" s="212"/>
      <c r="M195" s="212"/>
      <c r="N195" s="212">
        <v>0</v>
      </c>
      <c r="O195" s="212">
        <v>0</v>
      </c>
      <c r="P195" s="212">
        <v>0</v>
      </c>
      <c r="Q195" s="229">
        <f t="shared" si="28"/>
        <v>12320</v>
      </c>
      <c r="S195" s="37">
        <f t="shared" si="32"/>
        <v>0</v>
      </c>
      <c r="T195" s="37">
        <f t="shared" si="32"/>
        <v>0</v>
      </c>
      <c r="U195" s="37">
        <f t="shared" si="32"/>
        <v>0</v>
      </c>
      <c r="V195" s="37">
        <f t="shared" si="32"/>
        <v>0</v>
      </c>
      <c r="W195" s="37">
        <f t="shared" si="32"/>
        <v>0</v>
      </c>
      <c r="X195" s="37">
        <f t="shared" si="32"/>
        <v>0</v>
      </c>
      <c r="Y195" s="37">
        <f t="shared" si="32"/>
        <v>0</v>
      </c>
      <c r="Z195" s="37">
        <f t="shared" si="32"/>
        <v>0</v>
      </c>
      <c r="AA195" s="37">
        <f t="shared" si="32"/>
        <v>0</v>
      </c>
      <c r="AB195" s="64">
        <f t="shared" si="29"/>
        <v>0</v>
      </c>
    </row>
    <row r="196" spans="1:28">
      <c r="A196" s="231">
        <v>3335</v>
      </c>
      <c r="B196" s="4">
        <v>103434</v>
      </c>
      <c r="C196" s="4" t="s">
        <v>514</v>
      </c>
      <c r="D196" s="4" t="s">
        <v>515</v>
      </c>
      <c r="E196" s="4" t="s">
        <v>5</v>
      </c>
      <c r="F196" s="232" t="s">
        <v>415</v>
      </c>
      <c r="H196" s="212">
        <v>0</v>
      </c>
      <c r="I196" s="212"/>
      <c r="J196" s="212"/>
      <c r="K196" s="212">
        <v>25217.5</v>
      </c>
      <c r="L196" s="212"/>
      <c r="M196" s="212"/>
      <c r="N196" s="212">
        <v>0</v>
      </c>
      <c r="O196" s="212">
        <v>0</v>
      </c>
      <c r="P196" s="212">
        <v>0</v>
      </c>
      <c r="Q196" s="229">
        <f t="shared" si="28"/>
        <v>25217.5</v>
      </c>
      <c r="S196" s="37">
        <f t="shared" si="32"/>
        <v>0</v>
      </c>
      <c r="T196" s="37">
        <f t="shared" si="32"/>
        <v>0</v>
      </c>
      <c r="U196" s="37">
        <f t="shared" si="32"/>
        <v>0</v>
      </c>
      <c r="V196" s="37">
        <f t="shared" si="32"/>
        <v>0</v>
      </c>
      <c r="W196" s="37">
        <f t="shared" si="32"/>
        <v>0</v>
      </c>
      <c r="X196" s="37">
        <f t="shared" si="32"/>
        <v>0</v>
      </c>
      <c r="Y196" s="37">
        <f t="shared" si="32"/>
        <v>0</v>
      </c>
      <c r="Z196" s="37">
        <f t="shared" si="32"/>
        <v>0</v>
      </c>
      <c r="AA196" s="37">
        <f t="shared" si="32"/>
        <v>0</v>
      </c>
      <c r="AB196" s="64">
        <f t="shared" si="29"/>
        <v>0</v>
      </c>
    </row>
    <row r="197" spans="1:28">
      <c r="A197" s="231">
        <v>3372</v>
      </c>
      <c r="B197" s="4">
        <v>103460</v>
      </c>
      <c r="C197" s="4" t="s">
        <v>517</v>
      </c>
      <c r="D197" s="4" t="s">
        <v>518</v>
      </c>
      <c r="E197" s="4" t="s">
        <v>5</v>
      </c>
      <c r="F197" s="232" t="s">
        <v>415</v>
      </c>
      <c r="H197" s="212">
        <v>0</v>
      </c>
      <c r="I197" s="212"/>
      <c r="J197" s="212"/>
      <c r="K197" s="212">
        <v>59554.75</v>
      </c>
      <c r="L197" s="212"/>
      <c r="M197" s="212"/>
      <c r="N197" s="212">
        <v>0</v>
      </c>
      <c r="O197" s="212">
        <v>0</v>
      </c>
      <c r="P197" s="212">
        <v>0</v>
      </c>
      <c r="Q197" s="229">
        <f t="shared" si="28"/>
        <v>59554.75</v>
      </c>
      <c r="S197" s="37">
        <f t="shared" si="32"/>
        <v>0</v>
      </c>
      <c r="T197" s="37">
        <f t="shared" si="32"/>
        <v>0</v>
      </c>
      <c r="U197" s="37">
        <f t="shared" si="32"/>
        <v>0</v>
      </c>
      <c r="V197" s="37">
        <f t="shared" si="32"/>
        <v>0</v>
      </c>
      <c r="W197" s="37">
        <f t="shared" si="32"/>
        <v>0</v>
      </c>
      <c r="X197" s="37">
        <f t="shared" si="32"/>
        <v>0</v>
      </c>
      <c r="Y197" s="37">
        <f t="shared" si="32"/>
        <v>0</v>
      </c>
      <c r="Z197" s="37">
        <f t="shared" si="32"/>
        <v>0</v>
      </c>
      <c r="AA197" s="37">
        <f t="shared" si="32"/>
        <v>0</v>
      </c>
      <c r="AB197" s="64">
        <f t="shared" si="29"/>
        <v>0</v>
      </c>
    </row>
    <row r="198" spans="1:28">
      <c r="A198" s="231">
        <v>3355</v>
      </c>
      <c r="B198" s="4">
        <v>103447</v>
      </c>
      <c r="C198" s="4" t="s">
        <v>520</v>
      </c>
      <c r="D198" s="4" t="s">
        <v>521</v>
      </c>
      <c r="E198" s="4" t="s">
        <v>5</v>
      </c>
      <c r="F198" s="232" t="s">
        <v>415</v>
      </c>
      <c r="H198" s="212">
        <v>0</v>
      </c>
      <c r="I198" s="212"/>
      <c r="J198" s="212"/>
      <c r="K198" s="212">
        <v>20475</v>
      </c>
      <c r="L198" s="212"/>
      <c r="M198" s="212"/>
      <c r="N198" s="212">
        <v>0</v>
      </c>
      <c r="O198" s="212">
        <v>0</v>
      </c>
      <c r="P198" s="212">
        <v>0</v>
      </c>
      <c r="Q198" s="229">
        <f t="shared" si="28"/>
        <v>20475</v>
      </c>
      <c r="S198" s="37">
        <f t="shared" si="32"/>
        <v>0</v>
      </c>
      <c r="T198" s="37">
        <f t="shared" si="32"/>
        <v>0</v>
      </c>
      <c r="U198" s="37">
        <f t="shared" si="32"/>
        <v>0</v>
      </c>
      <c r="V198" s="37">
        <f t="shared" si="32"/>
        <v>0</v>
      </c>
      <c r="W198" s="37">
        <f t="shared" si="32"/>
        <v>0</v>
      </c>
      <c r="X198" s="37">
        <f t="shared" si="32"/>
        <v>0</v>
      </c>
      <c r="Y198" s="37">
        <f t="shared" si="32"/>
        <v>0</v>
      </c>
      <c r="Z198" s="37">
        <f t="shared" si="32"/>
        <v>0</v>
      </c>
      <c r="AA198" s="37">
        <f t="shared" si="32"/>
        <v>0</v>
      </c>
      <c r="AB198" s="64">
        <f t="shared" si="29"/>
        <v>0</v>
      </c>
    </row>
    <row r="199" spans="1:28">
      <c r="A199" s="231">
        <v>3367</v>
      </c>
      <c r="B199" s="4">
        <v>103458</v>
      </c>
      <c r="C199" s="4" t="s">
        <v>523</v>
      </c>
      <c r="D199" s="4" t="s">
        <v>524</v>
      </c>
      <c r="E199" s="4" t="s">
        <v>5</v>
      </c>
      <c r="F199" s="232" t="s">
        <v>415</v>
      </c>
      <c r="H199" s="212">
        <v>0</v>
      </c>
      <c r="I199" s="212"/>
      <c r="J199" s="212"/>
      <c r="K199" s="212">
        <v>11491</v>
      </c>
      <c r="L199" s="212"/>
      <c r="M199" s="212"/>
      <c r="N199" s="212">
        <v>0</v>
      </c>
      <c r="O199" s="212">
        <v>0</v>
      </c>
      <c r="P199" s="212">
        <v>0</v>
      </c>
      <c r="Q199" s="229">
        <f t="shared" si="28"/>
        <v>11491</v>
      </c>
      <c r="S199" s="37">
        <f t="shared" si="32"/>
        <v>0</v>
      </c>
      <c r="T199" s="37">
        <f t="shared" si="32"/>
        <v>0</v>
      </c>
      <c r="U199" s="37">
        <f t="shared" si="32"/>
        <v>0</v>
      </c>
      <c r="V199" s="37">
        <f t="shared" si="32"/>
        <v>0</v>
      </c>
      <c r="W199" s="37">
        <f t="shared" si="32"/>
        <v>0</v>
      </c>
      <c r="X199" s="37">
        <f t="shared" si="32"/>
        <v>0</v>
      </c>
      <c r="Y199" s="37">
        <f t="shared" si="32"/>
        <v>0</v>
      </c>
      <c r="Z199" s="37">
        <f t="shared" si="32"/>
        <v>0</v>
      </c>
      <c r="AA199" s="37">
        <f t="shared" si="32"/>
        <v>0</v>
      </c>
      <c r="AB199" s="64">
        <f t="shared" si="29"/>
        <v>0</v>
      </c>
    </row>
    <row r="200" spans="1:28">
      <c r="A200" s="231">
        <v>3361</v>
      </c>
      <c r="B200" s="4">
        <v>103453</v>
      </c>
      <c r="C200" s="4" t="s">
        <v>526</v>
      </c>
      <c r="D200" s="4" t="s">
        <v>527</v>
      </c>
      <c r="E200" s="4" t="s">
        <v>5</v>
      </c>
      <c r="F200" s="232" t="s">
        <v>415</v>
      </c>
      <c r="H200" s="212">
        <v>0</v>
      </c>
      <c r="I200" s="212"/>
      <c r="J200" s="212"/>
      <c r="K200" s="212">
        <v>6930</v>
      </c>
      <c r="L200" s="212"/>
      <c r="M200" s="212"/>
      <c r="N200" s="212">
        <v>0</v>
      </c>
      <c r="O200" s="212">
        <v>0</v>
      </c>
      <c r="P200" s="212">
        <v>0</v>
      </c>
      <c r="Q200" s="229">
        <f t="shared" ref="Q200:Q217" si="33">SUM(H200:P200)</f>
        <v>6930</v>
      </c>
      <c r="S200" s="37">
        <f t="shared" si="32"/>
        <v>0</v>
      </c>
      <c r="T200" s="37">
        <f t="shared" si="32"/>
        <v>0</v>
      </c>
      <c r="U200" s="37">
        <f t="shared" si="32"/>
        <v>0</v>
      </c>
      <c r="V200" s="37">
        <f t="shared" si="32"/>
        <v>0</v>
      </c>
      <c r="W200" s="37">
        <f t="shared" si="32"/>
        <v>0</v>
      </c>
      <c r="X200" s="37">
        <f t="shared" si="32"/>
        <v>0</v>
      </c>
      <c r="Y200" s="37">
        <f t="shared" si="32"/>
        <v>0</v>
      </c>
      <c r="Z200" s="37">
        <f t="shared" si="32"/>
        <v>0</v>
      </c>
      <c r="AA200" s="37">
        <f t="shared" si="32"/>
        <v>0</v>
      </c>
      <c r="AB200" s="64">
        <f t="shared" ref="AB200:AB217" si="34">SUM(H200:P200)-Q200</f>
        <v>0</v>
      </c>
    </row>
    <row r="201" spans="1:28">
      <c r="A201" s="231">
        <v>3344</v>
      </c>
      <c r="B201" s="4">
        <v>103438</v>
      </c>
      <c r="C201" s="4" t="s">
        <v>529</v>
      </c>
      <c r="D201" s="4" t="s">
        <v>530</v>
      </c>
      <c r="E201" s="4" t="s">
        <v>5</v>
      </c>
      <c r="F201" s="232" t="s">
        <v>415</v>
      </c>
      <c r="H201" s="212">
        <v>0</v>
      </c>
      <c r="I201" s="212"/>
      <c r="J201" s="212"/>
      <c r="K201" s="212">
        <v>29596.75</v>
      </c>
      <c r="L201" s="212"/>
      <c r="M201" s="212"/>
      <c r="N201" s="212">
        <v>0</v>
      </c>
      <c r="O201" s="212">
        <v>0</v>
      </c>
      <c r="P201" s="212">
        <v>0</v>
      </c>
      <c r="Q201" s="229">
        <f t="shared" si="33"/>
        <v>29596.75</v>
      </c>
      <c r="S201" s="37">
        <f t="shared" si="32"/>
        <v>0</v>
      </c>
      <c r="T201" s="37">
        <f t="shared" si="32"/>
        <v>0</v>
      </c>
      <c r="U201" s="37">
        <f t="shared" si="32"/>
        <v>0</v>
      </c>
      <c r="V201" s="37">
        <f t="shared" si="32"/>
        <v>0</v>
      </c>
      <c r="W201" s="37">
        <f t="shared" si="32"/>
        <v>0</v>
      </c>
      <c r="X201" s="37">
        <f t="shared" si="32"/>
        <v>0</v>
      </c>
      <c r="Y201" s="37">
        <f t="shared" si="32"/>
        <v>0</v>
      </c>
      <c r="Z201" s="37">
        <f t="shared" si="32"/>
        <v>0</v>
      </c>
      <c r="AA201" s="37">
        <f t="shared" si="32"/>
        <v>0</v>
      </c>
      <c r="AB201" s="64">
        <f t="shared" si="34"/>
        <v>0</v>
      </c>
    </row>
    <row r="202" spans="1:28">
      <c r="A202" s="231">
        <v>3385</v>
      </c>
      <c r="B202" s="4">
        <v>103469</v>
      </c>
      <c r="C202" s="4" t="s">
        <v>532</v>
      </c>
      <c r="D202" s="4" t="s">
        <v>533</v>
      </c>
      <c r="E202" s="4" t="s">
        <v>5</v>
      </c>
      <c r="F202" s="232" t="s">
        <v>415</v>
      </c>
      <c r="H202" s="212">
        <v>0</v>
      </c>
      <c r="I202" s="212"/>
      <c r="J202" s="212"/>
      <c r="K202" s="212">
        <v>16065</v>
      </c>
      <c r="L202" s="212"/>
      <c r="M202" s="212"/>
      <c r="N202" s="212">
        <v>0</v>
      </c>
      <c r="O202" s="212">
        <v>0</v>
      </c>
      <c r="P202" s="212">
        <v>0</v>
      </c>
      <c r="Q202" s="229">
        <f t="shared" si="33"/>
        <v>16065</v>
      </c>
      <c r="S202" s="37">
        <f t="shared" ref="S202:AA211" si="35">SUMIF($H$3:$P$3,S$6,$H202:$P202)</f>
        <v>0</v>
      </c>
      <c r="T202" s="37">
        <f t="shared" si="35"/>
        <v>0</v>
      </c>
      <c r="U202" s="37">
        <f t="shared" si="35"/>
        <v>0</v>
      </c>
      <c r="V202" s="37">
        <f t="shared" si="35"/>
        <v>0</v>
      </c>
      <c r="W202" s="37">
        <f t="shared" si="35"/>
        <v>0</v>
      </c>
      <c r="X202" s="37">
        <f t="shared" si="35"/>
        <v>0</v>
      </c>
      <c r="Y202" s="37">
        <f t="shared" si="35"/>
        <v>0</v>
      </c>
      <c r="Z202" s="37">
        <f t="shared" si="35"/>
        <v>0</v>
      </c>
      <c r="AA202" s="37">
        <f t="shared" si="35"/>
        <v>0</v>
      </c>
      <c r="AB202" s="64">
        <f t="shared" si="34"/>
        <v>0</v>
      </c>
    </row>
    <row r="203" spans="1:28">
      <c r="A203" s="231">
        <v>3019</v>
      </c>
      <c r="B203" s="4">
        <v>103406</v>
      </c>
      <c r="C203" s="4" t="s">
        <v>535</v>
      </c>
      <c r="D203" s="4" t="s">
        <v>536</v>
      </c>
      <c r="E203" s="4" t="s">
        <v>5</v>
      </c>
      <c r="F203" s="232" t="s">
        <v>415</v>
      </c>
      <c r="H203" s="212">
        <v>0</v>
      </c>
      <c r="I203" s="212"/>
      <c r="J203" s="212"/>
      <c r="K203" s="212">
        <v>63032.67</v>
      </c>
      <c r="L203" s="212"/>
      <c r="M203" s="212"/>
      <c r="N203" s="212">
        <v>0</v>
      </c>
      <c r="O203" s="212">
        <v>0</v>
      </c>
      <c r="P203" s="212">
        <v>0</v>
      </c>
      <c r="Q203" s="229">
        <f t="shared" si="33"/>
        <v>63032.67</v>
      </c>
      <c r="S203" s="37">
        <f t="shared" si="35"/>
        <v>0</v>
      </c>
      <c r="T203" s="37">
        <f t="shared" si="35"/>
        <v>0</v>
      </c>
      <c r="U203" s="37">
        <f t="shared" si="35"/>
        <v>0</v>
      </c>
      <c r="V203" s="37">
        <f t="shared" si="35"/>
        <v>0</v>
      </c>
      <c r="W203" s="37">
        <f t="shared" si="35"/>
        <v>0</v>
      </c>
      <c r="X203" s="37">
        <f t="shared" si="35"/>
        <v>0</v>
      </c>
      <c r="Y203" s="37">
        <f t="shared" si="35"/>
        <v>0</v>
      </c>
      <c r="Z203" s="37">
        <f t="shared" si="35"/>
        <v>0</v>
      </c>
      <c r="AA203" s="37">
        <f t="shared" si="35"/>
        <v>0</v>
      </c>
      <c r="AB203" s="64">
        <f t="shared" si="34"/>
        <v>0</v>
      </c>
    </row>
    <row r="204" spans="1:28">
      <c r="A204" s="231">
        <v>2178</v>
      </c>
      <c r="B204" s="4">
        <v>103257</v>
      </c>
      <c r="C204" s="4" t="s">
        <v>538</v>
      </c>
      <c r="D204" s="4" t="s">
        <v>539</v>
      </c>
      <c r="E204" s="4" t="s">
        <v>5</v>
      </c>
      <c r="F204" s="232" t="s">
        <v>415</v>
      </c>
      <c r="H204" s="212">
        <v>0</v>
      </c>
      <c r="I204" s="212"/>
      <c r="J204" s="212"/>
      <c r="K204" s="212">
        <v>7175</v>
      </c>
      <c r="L204" s="212"/>
      <c r="M204" s="212"/>
      <c r="N204" s="212">
        <v>0</v>
      </c>
      <c r="O204" s="212">
        <v>0</v>
      </c>
      <c r="P204" s="212">
        <v>0</v>
      </c>
      <c r="Q204" s="229">
        <f t="shared" si="33"/>
        <v>7175</v>
      </c>
      <c r="S204" s="37">
        <f t="shared" si="35"/>
        <v>0</v>
      </c>
      <c r="T204" s="37">
        <f t="shared" si="35"/>
        <v>0</v>
      </c>
      <c r="U204" s="37">
        <f t="shared" si="35"/>
        <v>0</v>
      </c>
      <c r="V204" s="37">
        <f t="shared" si="35"/>
        <v>0</v>
      </c>
      <c r="W204" s="37">
        <f t="shared" si="35"/>
        <v>0</v>
      </c>
      <c r="X204" s="37">
        <f t="shared" si="35"/>
        <v>0</v>
      </c>
      <c r="Y204" s="37">
        <f t="shared" si="35"/>
        <v>0</v>
      </c>
      <c r="Z204" s="37">
        <f t="shared" si="35"/>
        <v>0</v>
      </c>
      <c r="AA204" s="37">
        <f t="shared" si="35"/>
        <v>0</v>
      </c>
      <c r="AB204" s="64">
        <f t="shared" si="34"/>
        <v>0</v>
      </c>
    </row>
    <row r="205" spans="1:28">
      <c r="A205" s="231">
        <v>2097</v>
      </c>
      <c r="B205" s="4">
        <v>103213</v>
      </c>
      <c r="C205" s="4" t="s">
        <v>541</v>
      </c>
      <c r="D205" s="4" t="s">
        <v>542</v>
      </c>
      <c r="E205" s="4" t="s">
        <v>5</v>
      </c>
      <c r="F205" s="232" t="s">
        <v>415</v>
      </c>
      <c r="H205" s="212">
        <v>0</v>
      </c>
      <c r="I205" s="212"/>
      <c r="J205" s="212"/>
      <c r="K205" s="212">
        <v>18508</v>
      </c>
      <c r="L205" s="212"/>
      <c r="M205" s="212"/>
      <c r="N205" s="212">
        <v>0</v>
      </c>
      <c r="O205" s="212">
        <v>0</v>
      </c>
      <c r="P205" s="212">
        <v>0</v>
      </c>
      <c r="Q205" s="229">
        <f t="shared" si="33"/>
        <v>18508</v>
      </c>
      <c r="S205" s="37">
        <f t="shared" si="35"/>
        <v>0</v>
      </c>
      <c r="T205" s="37">
        <f t="shared" si="35"/>
        <v>0</v>
      </c>
      <c r="U205" s="37">
        <f t="shared" si="35"/>
        <v>0</v>
      </c>
      <c r="V205" s="37">
        <f t="shared" si="35"/>
        <v>0</v>
      </c>
      <c r="W205" s="37">
        <f t="shared" si="35"/>
        <v>0</v>
      </c>
      <c r="X205" s="37">
        <f t="shared" si="35"/>
        <v>0</v>
      </c>
      <c r="Y205" s="37">
        <f t="shared" si="35"/>
        <v>0</v>
      </c>
      <c r="Z205" s="37">
        <f t="shared" si="35"/>
        <v>0</v>
      </c>
      <c r="AA205" s="37">
        <f t="shared" si="35"/>
        <v>0</v>
      </c>
      <c r="AB205" s="64">
        <f t="shared" si="34"/>
        <v>0</v>
      </c>
    </row>
    <row r="206" spans="1:28">
      <c r="A206" s="231">
        <v>2190</v>
      </c>
      <c r="B206" s="4">
        <v>103266</v>
      </c>
      <c r="C206" s="4" t="s">
        <v>544</v>
      </c>
      <c r="D206" s="4" t="s">
        <v>545</v>
      </c>
      <c r="E206" s="4" t="s">
        <v>5</v>
      </c>
      <c r="F206" s="232" t="s">
        <v>415</v>
      </c>
      <c r="H206" s="212">
        <v>0</v>
      </c>
      <c r="I206" s="212"/>
      <c r="J206" s="212"/>
      <c r="K206" s="212">
        <v>4200</v>
      </c>
      <c r="L206" s="212"/>
      <c r="M206" s="212"/>
      <c r="N206" s="212">
        <v>0</v>
      </c>
      <c r="O206" s="212">
        <v>0</v>
      </c>
      <c r="P206" s="212">
        <v>0</v>
      </c>
      <c r="Q206" s="229">
        <f t="shared" si="33"/>
        <v>4200</v>
      </c>
      <c r="S206" s="37">
        <f t="shared" si="35"/>
        <v>0</v>
      </c>
      <c r="T206" s="37">
        <f t="shared" si="35"/>
        <v>0</v>
      </c>
      <c r="U206" s="37">
        <f t="shared" si="35"/>
        <v>0</v>
      </c>
      <c r="V206" s="37">
        <f t="shared" si="35"/>
        <v>0</v>
      </c>
      <c r="W206" s="37">
        <f t="shared" si="35"/>
        <v>0</v>
      </c>
      <c r="X206" s="37">
        <f t="shared" si="35"/>
        <v>0</v>
      </c>
      <c r="Y206" s="37">
        <f t="shared" si="35"/>
        <v>0</v>
      </c>
      <c r="Z206" s="37">
        <f t="shared" si="35"/>
        <v>0</v>
      </c>
      <c r="AA206" s="37">
        <f t="shared" si="35"/>
        <v>0</v>
      </c>
      <c r="AB206" s="64">
        <f t="shared" si="34"/>
        <v>0</v>
      </c>
    </row>
    <row r="207" spans="1:28">
      <c r="A207" s="231">
        <v>7035</v>
      </c>
      <c r="B207" s="4">
        <v>103615</v>
      </c>
      <c r="C207" s="4" t="s">
        <v>547</v>
      </c>
      <c r="D207" s="4" t="s">
        <v>548</v>
      </c>
      <c r="E207" s="4" t="s">
        <v>1093</v>
      </c>
      <c r="F207" s="232" t="s">
        <v>415</v>
      </c>
      <c r="H207" s="212">
        <v>35700</v>
      </c>
      <c r="I207" s="212"/>
      <c r="J207" s="212"/>
      <c r="K207" s="212">
        <v>0</v>
      </c>
      <c r="L207" s="212"/>
      <c r="M207" s="212"/>
      <c r="N207" s="212">
        <v>0</v>
      </c>
      <c r="O207" s="212">
        <v>0</v>
      </c>
      <c r="P207" s="212">
        <v>0</v>
      </c>
      <c r="Q207" s="229">
        <f t="shared" si="33"/>
        <v>35700</v>
      </c>
      <c r="S207" s="37">
        <f t="shared" si="35"/>
        <v>0</v>
      </c>
      <c r="T207" s="37">
        <f t="shared" si="35"/>
        <v>0</v>
      </c>
      <c r="U207" s="37">
        <f t="shared" si="35"/>
        <v>0</v>
      </c>
      <c r="V207" s="37">
        <f t="shared" si="35"/>
        <v>0</v>
      </c>
      <c r="W207" s="37">
        <f t="shared" si="35"/>
        <v>0</v>
      </c>
      <c r="X207" s="37">
        <f t="shared" si="35"/>
        <v>0</v>
      </c>
      <c r="Y207" s="37">
        <f t="shared" si="35"/>
        <v>0</v>
      </c>
      <c r="Z207" s="37">
        <f t="shared" si="35"/>
        <v>0</v>
      </c>
      <c r="AA207" s="37">
        <f t="shared" si="35"/>
        <v>0</v>
      </c>
      <c r="AB207" s="64">
        <f t="shared" si="34"/>
        <v>0</v>
      </c>
    </row>
    <row r="208" spans="1:28">
      <c r="A208" s="231">
        <v>7045</v>
      </c>
      <c r="B208" s="4">
        <v>103622</v>
      </c>
      <c r="C208" s="4" t="s">
        <v>550</v>
      </c>
      <c r="D208" s="4" t="s">
        <v>864</v>
      </c>
      <c r="E208" s="4" t="s">
        <v>1093</v>
      </c>
      <c r="F208" s="232" t="s">
        <v>415</v>
      </c>
      <c r="H208" s="212">
        <v>69421.666666666657</v>
      </c>
      <c r="I208" s="212"/>
      <c r="J208" s="212"/>
      <c r="K208" s="212">
        <v>0</v>
      </c>
      <c r="L208" s="212"/>
      <c r="M208" s="212"/>
      <c r="N208" s="212">
        <v>0</v>
      </c>
      <c r="O208" s="212">
        <v>0</v>
      </c>
      <c r="P208" s="212">
        <v>0</v>
      </c>
      <c r="Q208" s="229">
        <f t="shared" si="33"/>
        <v>69421.666666666657</v>
      </c>
      <c r="S208" s="37">
        <f t="shared" si="35"/>
        <v>0</v>
      </c>
      <c r="T208" s="37">
        <f t="shared" si="35"/>
        <v>0</v>
      </c>
      <c r="U208" s="37">
        <f t="shared" si="35"/>
        <v>0</v>
      </c>
      <c r="V208" s="37">
        <f t="shared" si="35"/>
        <v>0</v>
      </c>
      <c r="W208" s="37">
        <f t="shared" si="35"/>
        <v>0</v>
      </c>
      <c r="X208" s="37">
        <f t="shared" si="35"/>
        <v>0</v>
      </c>
      <c r="Y208" s="37">
        <f t="shared" si="35"/>
        <v>0</v>
      </c>
      <c r="Z208" s="37">
        <f t="shared" si="35"/>
        <v>0</v>
      </c>
      <c r="AA208" s="37">
        <f t="shared" si="35"/>
        <v>0</v>
      </c>
      <c r="AB208" s="64">
        <f t="shared" si="34"/>
        <v>0</v>
      </c>
    </row>
    <row r="209" spans="1:28">
      <c r="A209" s="231">
        <v>1019</v>
      </c>
      <c r="B209" s="4">
        <v>103132</v>
      </c>
      <c r="C209" s="4" t="s">
        <v>553</v>
      </c>
      <c r="D209" s="4" t="s">
        <v>554</v>
      </c>
      <c r="E209" s="4" t="s">
        <v>180</v>
      </c>
      <c r="F209" s="232" t="s">
        <v>415</v>
      </c>
      <c r="H209" s="212">
        <v>0</v>
      </c>
      <c r="I209" s="212"/>
      <c r="J209" s="212"/>
      <c r="K209" s="212">
        <v>7843.75</v>
      </c>
      <c r="L209" s="212"/>
      <c r="M209" s="212"/>
      <c r="N209" s="212">
        <v>0</v>
      </c>
      <c r="O209" s="212">
        <v>0</v>
      </c>
      <c r="P209" s="212">
        <v>0</v>
      </c>
      <c r="Q209" s="229">
        <f t="shared" si="33"/>
        <v>7843.75</v>
      </c>
      <c r="S209" s="37">
        <f t="shared" si="35"/>
        <v>0</v>
      </c>
      <c r="T209" s="37">
        <f t="shared" si="35"/>
        <v>0</v>
      </c>
      <c r="U209" s="37">
        <f t="shared" si="35"/>
        <v>0</v>
      </c>
      <c r="V209" s="37">
        <f t="shared" si="35"/>
        <v>0</v>
      </c>
      <c r="W209" s="37">
        <f t="shared" si="35"/>
        <v>0</v>
      </c>
      <c r="X209" s="37">
        <f t="shared" si="35"/>
        <v>0</v>
      </c>
      <c r="Y209" s="37">
        <f t="shared" si="35"/>
        <v>0</v>
      </c>
      <c r="Z209" s="37">
        <f t="shared" si="35"/>
        <v>0</v>
      </c>
      <c r="AA209" s="37">
        <f t="shared" si="35"/>
        <v>0</v>
      </c>
      <c r="AB209" s="64">
        <f t="shared" si="34"/>
        <v>0</v>
      </c>
    </row>
    <row r="210" spans="1:28">
      <c r="A210" s="231">
        <v>2306</v>
      </c>
      <c r="B210" s="4">
        <v>103326</v>
      </c>
      <c r="C210" s="4" t="s">
        <v>556</v>
      </c>
      <c r="D210" s="4" t="s">
        <v>557</v>
      </c>
      <c r="E210" s="4" t="s">
        <v>5</v>
      </c>
      <c r="F210" s="232" t="s">
        <v>415</v>
      </c>
      <c r="H210" s="212">
        <v>0</v>
      </c>
      <c r="I210" s="212"/>
      <c r="J210" s="212"/>
      <c r="K210" s="212">
        <v>2520</v>
      </c>
      <c r="L210" s="212"/>
      <c r="M210" s="212"/>
      <c r="N210" s="212">
        <v>0</v>
      </c>
      <c r="O210" s="212">
        <v>0</v>
      </c>
      <c r="P210" s="212">
        <v>0</v>
      </c>
      <c r="Q210" s="229">
        <f t="shared" si="33"/>
        <v>2520</v>
      </c>
      <c r="S210" s="37">
        <f t="shared" si="35"/>
        <v>0</v>
      </c>
      <c r="T210" s="37">
        <f t="shared" si="35"/>
        <v>0</v>
      </c>
      <c r="U210" s="37">
        <f t="shared" si="35"/>
        <v>0</v>
      </c>
      <c r="V210" s="37">
        <f t="shared" si="35"/>
        <v>0</v>
      </c>
      <c r="W210" s="37">
        <f t="shared" si="35"/>
        <v>0</v>
      </c>
      <c r="X210" s="37">
        <f t="shared" si="35"/>
        <v>0</v>
      </c>
      <c r="Y210" s="37">
        <f t="shared" si="35"/>
        <v>0</v>
      </c>
      <c r="Z210" s="37">
        <f t="shared" si="35"/>
        <v>0</v>
      </c>
      <c r="AA210" s="37">
        <f t="shared" si="35"/>
        <v>0</v>
      </c>
      <c r="AB210" s="64">
        <f t="shared" si="34"/>
        <v>0</v>
      </c>
    </row>
    <row r="211" spans="1:28">
      <c r="A211" s="231">
        <v>2482</v>
      </c>
      <c r="B211" s="4">
        <v>132201</v>
      </c>
      <c r="C211" s="4" t="s">
        <v>559</v>
      </c>
      <c r="D211" s="4" t="s">
        <v>560</v>
      </c>
      <c r="E211" s="4" t="s">
        <v>5</v>
      </c>
      <c r="F211" s="232" t="s">
        <v>415</v>
      </c>
      <c r="H211" s="212">
        <v>0</v>
      </c>
      <c r="I211" s="212"/>
      <c r="J211" s="212"/>
      <c r="K211" s="212">
        <v>15741.17</v>
      </c>
      <c r="L211" s="212"/>
      <c r="M211" s="212"/>
      <c r="N211" s="212">
        <v>0</v>
      </c>
      <c r="O211" s="212">
        <v>0</v>
      </c>
      <c r="P211" s="212">
        <v>0</v>
      </c>
      <c r="Q211" s="229">
        <f t="shared" si="33"/>
        <v>15741.17</v>
      </c>
      <c r="S211" s="37">
        <f t="shared" si="35"/>
        <v>0</v>
      </c>
      <c r="T211" s="37">
        <f t="shared" si="35"/>
        <v>0</v>
      </c>
      <c r="U211" s="37">
        <f t="shared" si="35"/>
        <v>0</v>
      </c>
      <c r="V211" s="37">
        <f t="shared" si="35"/>
        <v>0</v>
      </c>
      <c r="W211" s="37">
        <f t="shared" si="35"/>
        <v>0</v>
      </c>
      <c r="X211" s="37">
        <f t="shared" si="35"/>
        <v>0</v>
      </c>
      <c r="Y211" s="37">
        <f t="shared" si="35"/>
        <v>0</v>
      </c>
      <c r="Z211" s="37">
        <f t="shared" si="35"/>
        <v>0</v>
      </c>
      <c r="AA211" s="37">
        <f t="shared" si="35"/>
        <v>0</v>
      </c>
      <c r="AB211" s="64">
        <f t="shared" si="34"/>
        <v>0</v>
      </c>
    </row>
    <row r="212" spans="1:28">
      <c r="A212" s="231">
        <v>2245</v>
      </c>
      <c r="B212" s="4">
        <v>103295</v>
      </c>
      <c r="C212" s="4" t="s">
        <v>562</v>
      </c>
      <c r="D212" s="4" t="s">
        <v>563</v>
      </c>
      <c r="E212" s="4" t="s">
        <v>5</v>
      </c>
      <c r="F212" s="232" t="s">
        <v>415</v>
      </c>
      <c r="H212" s="212">
        <v>0</v>
      </c>
      <c r="I212" s="212"/>
      <c r="J212" s="212"/>
      <c r="K212" s="212">
        <v>21267.33</v>
      </c>
      <c r="L212" s="212"/>
      <c r="M212" s="212"/>
      <c r="N212" s="212">
        <v>0</v>
      </c>
      <c r="O212" s="212">
        <v>0</v>
      </c>
      <c r="P212" s="212">
        <v>0</v>
      </c>
      <c r="Q212" s="229">
        <f t="shared" si="33"/>
        <v>21267.33</v>
      </c>
      <c r="S212" s="37">
        <f t="shared" ref="S212:AA217" si="36">SUMIF($H$3:$P$3,S$6,$H212:$P212)</f>
        <v>0</v>
      </c>
      <c r="T212" s="37">
        <f t="shared" si="36"/>
        <v>0</v>
      </c>
      <c r="U212" s="37">
        <f t="shared" si="36"/>
        <v>0</v>
      </c>
      <c r="V212" s="37">
        <f t="shared" si="36"/>
        <v>0</v>
      </c>
      <c r="W212" s="37">
        <f t="shared" si="36"/>
        <v>0</v>
      </c>
      <c r="X212" s="37">
        <f t="shared" si="36"/>
        <v>0</v>
      </c>
      <c r="Y212" s="37">
        <f t="shared" si="36"/>
        <v>0</v>
      </c>
      <c r="Z212" s="37">
        <f t="shared" si="36"/>
        <v>0</v>
      </c>
      <c r="AA212" s="37">
        <f t="shared" si="36"/>
        <v>0</v>
      </c>
      <c r="AB212" s="64">
        <f t="shared" si="34"/>
        <v>0</v>
      </c>
    </row>
    <row r="213" spans="1:28">
      <c r="A213" s="231">
        <v>2445</v>
      </c>
      <c r="B213" s="4">
        <v>103372</v>
      </c>
      <c r="C213" s="4" t="s">
        <v>568</v>
      </c>
      <c r="D213" s="4" t="s">
        <v>569</v>
      </c>
      <c r="E213" s="4" t="s">
        <v>5</v>
      </c>
      <c r="F213" s="232" t="s">
        <v>415</v>
      </c>
      <c r="H213" s="212">
        <v>0</v>
      </c>
      <c r="I213" s="212"/>
      <c r="J213" s="212"/>
      <c r="K213" s="212">
        <v>15516</v>
      </c>
      <c r="L213" s="212"/>
      <c r="M213" s="212"/>
      <c r="N213" s="212">
        <v>0</v>
      </c>
      <c r="O213" s="212">
        <v>0</v>
      </c>
      <c r="P213" s="212">
        <v>0</v>
      </c>
      <c r="Q213" s="229">
        <f t="shared" si="33"/>
        <v>15516</v>
      </c>
      <c r="S213" s="37">
        <f t="shared" si="36"/>
        <v>0</v>
      </c>
      <c r="T213" s="37">
        <f t="shared" si="36"/>
        <v>0</v>
      </c>
      <c r="U213" s="37">
        <f t="shared" si="36"/>
        <v>0</v>
      </c>
      <c r="V213" s="37">
        <f t="shared" si="36"/>
        <v>0</v>
      </c>
      <c r="W213" s="37">
        <f t="shared" si="36"/>
        <v>0</v>
      </c>
      <c r="X213" s="37">
        <f t="shared" si="36"/>
        <v>0</v>
      </c>
      <c r="Y213" s="37">
        <f t="shared" si="36"/>
        <v>0</v>
      </c>
      <c r="Z213" s="37">
        <f t="shared" si="36"/>
        <v>0</v>
      </c>
      <c r="AA213" s="37">
        <f t="shared" si="36"/>
        <v>0</v>
      </c>
      <c r="AB213" s="64">
        <f t="shared" si="34"/>
        <v>0</v>
      </c>
    </row>
    <row r="214" spans="1:28">
      <c r="A214" s="231">
        <v>2278</v>
      </c>
      <c r="B214" s="4">
        <v>103310</v>
      </c>
      <c r="C214" s="4" t="s">
        <v>571</v>
      </c>
      <c r="D214" s="4" t="s">
        <v>572</v>
      </c>
      <c r="E214" s="4" t="s">
        <v>5</v>
      </c>
      <c r="F214" s="232" t="s">
        <v>415</v>
      </c>
      <c r="H214" s="212">
        <v>0</v>
      </c>
      <c r="I214" s="212"/>
      <c r="J214" s="212"/>
      <c r="K214" s="212">
        <v>64965</v>
      </c>
      <c r="L214" s="212"/>
      <c r="M214" s="212"/>
      <c r="N214" s="212">
        <v>0</v>
      </c>
      <c r="O214" s="212">
        <v>0</v>
      </c>
      <c r="P214" s="212">
        <v>0</v>
      </c>
      <c r="Q214" s="229">
        <f t="shared" si="33"/>
        <v>64965</v>
      </c>
      <c r="S214" s="37">
        <f t="shared" si="36"/>
        <v>0</v>
      </c>
      <c r="T214" s="37">
        <f t="shared" si="36"/>
        <v>0</v>
      </c>
      <c r="U214" s="37">
        <f t="shared" si="36"/>
        <v>0</v>
      </c>
      <c r="V214" s="37">
        <f t="shared" si="36"/>
        <v>0</v>
      </c>
      <c r="W214" s="37">
        <f t="shared" si="36"/>
        <v>0</v>
      </c>
      <c r="X214" s="37">
        <f t="shared" si="36"/>
        <v>0</v>
      </c>
      <c r="Y214" s="37">
        <f t="shared" si="36"/>
        <v>0</v>
      </c>
      <c r="Z214" s="37">
        <f t="shared" si="36"/>
        <v>0</v>
      </c>
      <c r="AA214" s="37">
        <f t="shared" si="36"/>
        <v>0</v>
      </c>
      <c r="AB214" s="64">
        <f t="shared" si="34"/>
        <v>0</v>
      </c>
    </row>
    <row r="215" spans="1:28">
      <c r="A215" s="231">
        <v>2317</v>
      </c>
      <c r="B215" s="4">
        <v>103337</v>
      </c>
      <c r="C215" s="4" t="s">
        <v>574</v>
      </c>
      <c r="D215" s="4" t="s">
        <v>575</v>
      </c>
      <c r="E215" s="4" t="s">
        <v>5</v>
      </c>
      <c r="F215" s="232" t="s">
        <v>415</v>
      </c>
      <c r="H215" s="212">
        <v>0</v>
      </c>
      <c r="I215" s="212"/>
      <c r="J215" s="212"/>
      <c r="K215" s="212">
        <v>29925</v>
      </c>
      <c r="L215" s="212"/>
      <c r="M215" s="212"/>
      <c r="N215" s="212">
        <v>0</v>
      </c>
      <c r="O215" s="212">
        <v>0</v>
      </c>
      <c r="P215" s="212">
        <v>0</v>
      </c>
      <c r="Q215" s="229">
        <f t="shared" si="33"/>
        <v>29925</v>
      </c>
      <c r="S215" s="37">
        <f t="shared" si="36"/>
        <v>0</v>
      </c>
      <c r="T215" s="37">
        <f t="shared" si="36"/>
        <v>0</v>
      </c>
      <c r="U215" s="37">
        <f t="shared" si="36"/>
        <v>0</v>
      </c>
      <c r="V215" s="37">
        <f t="shared" si="36"/>
        <v>0</v>
      </c>
      <c r="W215" s="37">
        <f t="shared" si="36"/>
        <v>0</v>
      </c>
      <c r="X215" s="37">
        <f t="shared" si="36"/>
        <v>0</v>
      </c>
      <c r="Y215" s="37">
        <f t="shared" si="36"/>
        <v>0</v>
      </c>
      <c r="Z215" s="37">
        <f t="shared" si="36"/>
        <v>0</v>
      </c>
      <c r="AA215" s="37">
        <f t="shared" si="36"/>
        <v>0</v>
      </c>
      <c r="AB215" s="64">
        <f t="shared" si="34"/>
        <v>0</v>
      </c>
    </row>
    <row r="216" spans="1:28">
      <c r="A216" s="231">
        <v>3421</v>
      </c>
      <c r="B216" s="4">
        <v>133996</v>
      </c>
      <c r="C216" s="4" t="s">
        <v>577</v>
      </c>
      <c r="D216" s="4" t="s">
        <v>578</v>
      </c>
      <c r="E216" s="4" t="s">
        <v>5</v>
      </c>
      <c r="F216" s="232" t="s">
        <v>415</v>
      </c>
      <c r="H216" s="212">
        <v>0</v>
      </c>
      <c r="I216" s="212"/>
      <c r="J216" s="212"/>
      <c r="K216" s="212">
        <v>26973</v>
      </c>
      <c r="L216" s="212"/>
      <c r="M216" s="212"/>
      <c r="N216" s="212">
        <v>0</v>
      </c>
      <c r="O216" s="212">
        <v>0</v>
      </c>
      <c r="P216" s="212">
        <v>0</v>
      </c>
      <c r="Q216" s="229">
        <f t="shared" si="33"/>
        <v>26973</v>
      </c>
      <c r="S216" s="37">
        <f t="shared" si="36"/>
        <v>0</v>
      </c>
      <c r="T216" s="37">
        <f t="shared" si="36"/>
        <v>0</v>
      </c>
      <c r="U216" s="37">
        <f t="shared" si="36"/>
        <v>0</v>
      </c>
      <c r="V216" s="37">
        <f t="shared" si="36"/>
        <v>0</v>
      </c>
      <c r="W216" s="37">
        <f t="shared" si="36"/>
        <v>0</v>
      </c>
      <c r="X216" s="37">
        <f t="shared" si="36"/>
        <v>0</v>
      </c>
      <c r="Y216" s="37">
        <f t="shared" si="36"/>
        <v>0</v>
      </c>
      <c r="Z216" s="37">
        <f t="shared" si="36"/>
        <v>0</v>
      </c>
      <c r="AA216" s="37">
        <f t="shared" si="36"/>
        <v>0</v>
      </c>
      <c r="AB216" s="64">
        <f t="shared" si="34"/>
        <v>0</v>
      </c>
    </row>
    <row r="217" spans="1:28">
      <c r="A217" s="231">
        <v>2184</v>
      </c>
      <c r="B217" s="4">
        <v>103262</v>
      </c>
      <c r="C217" s="4" t="s">
        <v>824</v>
      </c>
      <c r="D217" s="4" t="s">
        <v>825</v>
      </c>
      <c r="E217" s="4" t="s">
        <v>5</v>
      </c>
      <c r="F217" s="232" t="s">
        <v>415</v>
      </c>
      <c r="H217" s="212">
        <v>0</v>
      </c>
      <c r="I217" s="212"/>
      <c r="J217" s="212"/>
      <c r="K217" s="212">
        <v>30107.5</v>
      </c>
      <c r="L217" s="212"/>
      <c r="M217" s="212"/>
      <c r="N217" s="212">
        <v>0</v>
      </c>
      <c r="O217" s="212">
        <v>0</v>
      </c>
      <c r="P217" s="212">
        <v>0</v>
      </c>
      <c r="Q217" s="229">
        <f t="shared" si="33"/>
        <v>30107.5</v>
      </c>
      <c r="S217" s="37">
        <f t="shared" si="36"/>
        <v>0</v>
      </c>
      <c r="T217" s="37">
        <f t="shared" si="36"/>
        <v>0</v>
      </c>
      <c r="U217" s="37">
        <f t="shared" si="36"/>
        <v>0</v>
      </c>
      <c r="V217" s="37">
        <f t="shared" si="36"/>
        <v>0</v>
      </c>
      <c r="W217" s="37">
        <f t="shared" si="36"/>
        <v>0</v>
      </c>
      <c r="X217" s="37">
        <f t="shared" si="36"/>
        <v>0</v>
      </c>
      <c r="Y217" s="37">
        <f t="shared" si="36"/>
        <v>0</v>
      </c>
      <c r="Z217" s="37">
        <f t="shared" si="36"/>
        <v>0</v>
      </c>
      <c r="AA217" s="37">
        <f t="shared" si="36"/>
        <v>0</v>
      </c>
      <c r="AB217" s="64">
        <f t="shared" si="34"/>
        <v>0</v>
      </c>
    </row>
    <row r="218" spans="1:28" s="224" customFormat="1" ht="15" thickBot="1">
      <c r="A218" s="235"/>
      <c r="B218" s="220"/>
      <c r="C218" s="220"/>
      <c r="D218" s="227" t="s">
        <v>1095</v>
      </c>
      <c r="E218" s="220"/>
      <c r="F218" s="236"/>
      <c r="G218"/>
      <c r="H218" s="255">
        <f t="shared" ref="H218:Q218" si="37">SUM(H72:H217)</f>
        <v>623710.2466666667</v>
      </c>
      <c r="I218" s="255"/>
      <c r="J218" s="255"/>
      <c r="K218" s="255">
        <f t="shared" si="37"/>
        <v>3569462.06</v>
      </c>
      <c r="L218" s="255"/>
      <c r="M218" s="255"/>
      <c r="N218" s="255">
        <f t="shared" si="37"/>
        <v>71996.916666666672</v>
      </c>
      <c r="O218" s="255">
        <f t="shared" si="37"/>
        <v>0</v>
      </c>
      <c r="P218" s="255">
        <f t="shared" si="37"/>
        <v>285960</v>
      </c>
      <c r="Q218" s="255">
        <f t="shared" si="37"/>
        <v>4551129.2233333336</v>
      </c>
      <c r="S218" s="256">
        <f>SUM(S72:S217)</f>
        <v>357956.91666666669</v>
      </c>
      <c r="T218" s="256">
        <f t="shared" ref="T218:AB218" si="38">SUM(T72:T217)</f>
        <v>0</v>
      </c>
      <c r="U218" s="256">
        <f t="shared" si="38"/>
        <v>0</v>
      </c>
      <c r="V218" s="256">
        <f t="shared" si="38"/>
        <v>0</v>
      </c>
      <c r="W218" s="256">
        <f t="shared" si="38"/>
        <v>0</v>
      </c>
      <c r="X218" s="256">
        <f t="shared" si="38"/>
        <v>0</v>
      </c>
      <c r="Y218" s="256">
        <f t="shared" si="38"/>
        <v>0</v>
      </c>
      <c r="Z218" s="256">
        <f t="shared" si="38"/>
        <v>0</v>
      </c>
      <c r="AA218" s="256">
        <f t="shared" si="38"/>
        <v>0</v>
      </c>
      <c r="AB218" s="256">
        <f t="shared" si="38"/>
        <v>0</v>
      </c>
    </row>
    <row r="219" spans="1:28" ht="15" thickTop="1">
      <c r="A219" s="231"/>
      <c r="B219" s="4"/>
      <c r="C219" s="4"/>
      <c r="D219" s="4"/>
      <c r="E219" s="4"/>
      <c r="F219" s="232"/>
      <c r="H219" s="254"/>
      <c r="I219" s="254"/>
      <c r="J219" s="254"/>
      <c r="K219" s="254"/>
      <c r="L219" s="254"/>
      <c r="M219" s="254"/>
      <c r="N219" s="254"/>
      <c r="O219" s="254"/>
      <c r="P219" s="254"/>
      <c r="Q219" s="254"/>
      <c r="AB219" s="64"/>
    </row>
    <row r="220" spans="1:28" ht="15" thickBot="1">
      <c r="A220" s="237"/>
      <c r="B220" s="238"/>
      <c r="C220" s="238"/>
      <c r="D220" s="239"/>
      <c r="E220" s="239"/>
      <c r="F220" s="240"/>
      <c r="G220" s="72" t="s">
        <v>48</v>
      </c>
      <c r="H220" s="251">
        <f t="shared" ref="H220:Q220" si="39">H70+H218</f>
        <v>1075154.3766666667</v>
      </c>
      <c r="I220" s="251"/>
      <c r="J220" s="251"/>
      <c r="K220" s="251">
        <f t="shared" si="39"/>
        <v>5104892.18</v>
      </c>
      <c r="L220" s="251"/>
      <c r="M220" s="251"/>
      <c r="N220" s="251">
        <f t="shared" si="39"/>
        <v>281981.5</v>
      </c>
      <c r="O220" s="251">
        <f t="shared" si="39"/>
        <v>173447.26583333334</v>
      </c>
      <c r="P220" s="251">
        <f t="shared" si="39"/>
        <v>500430</v>
      </c>
      <c r="Q220" s="251">
        <f t="shared" si="39"/>
        <v>7135905.3225000007</v>
      </c>
      <c r="S220" s="208">
        <f>S70+S218</f>
        <v>955858.76583333337</v>
      </c>
      <c r="T220" s="208">
        <f t="shared" ref="T220:AB220" si="40">T70+T218</f>
        <v>0</v>
      </c>
      <c r="U220" s="208">
        <f t="shared" si="40"/>
        <v>0</v>
      </c>
      <c r="V220" s="208">
        <f t="shared" si="40"/>
        <v>0</v>
      </c>
      <c r="W220" s="208">
        <f t="shared" si="40"/>
        <v>0</v>
      </c>
      <c r="X220" s="208">
        <f t="shared" si="40"/>
        <v>0</v>
      </c>
      <c r="Y220" s="208">
        <f t="shared" si="40"/>
        <v>0</v>
      </c>
      <c r="Z220" s="208">
        <f t="shared" si="40"/>
        <v>0</v>
      </c>
      <c r="AA220" s="208">
        <f t="shared" si="40"/>
        <v>0</v>
      </c>
      <c r="AB220" s="208">
        <f t="shared" si="40"/>
        <v>0</v>
      </c>
    </row>
    <row r="221" spans="1:28">
      <c r="AB221" s="37"/>
    </row>
    <row r="222" spans="1:28">
      <c r="AB222" s="37"/>
    </row>
    <row r="223" spans="1:28">
      <c r="AB223" s="37"/>
    </row>
    <row r="224" spans="1:28">
      <c r="AB224" s="37"/>
    </row>
    <row r="225" spans="28:28">
      <c r="AB225" s="37"/>
    </row>
    <row r="226" spans="28:28">
      <c r="AB226" s="37"/>
    </row>
    <row r="227" spans="28:28">
      <c r="AB227" s="37"/>
    </row>
    <row r="228" spans="28:28">
      <c r="AB228" s="37"/>
    </row>
  </sheetData>
  <conditionalFormatting sqref="K6:P6 A6:G7 H70:Q70 H218:Q218">
    <cfRule type="cellIs" dxfId="11" priority="3" operator="lessThan">
      <formula>0</formula>
    </cfRule>
  </conditionalFormatting>
  <conditionalFormatting sqref="Q6:Q69 Q71:Q217">
    <cfRule type="cellIs" dxfId="10" priority="2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5E7DA-57AD-470C-A196-8FC22E0C8349}">
  <sheetPr>
    <tabColor theme="5" tint="0.79998168889431442"/>
  </sheetPr>
  <dimension ref="A1:AE72"/>
  <sheetViews>
    <sheetView topLeftCell="L1" zoomScale="80" zoomScaleNormal="80" workbookViewId="0">
      <selection activeCell="AC78" sqref="AC78"/>
    </sheetView>
  </sheetViews>
  <sheetFormatPr defaultRowHeight="14.5"/>
  <cols>
    <col min="1" max="1" width="6.54296875" customWidth="1"/>
    <col min="2" max="2" width="7.7265625" bestFit="1" customWidth="1"/>
    <col min="3" max="3" width="11" bestFit="1" customWidth="1"/>
    <col min="4" max="4" width="66.26953125" customWidth="1"/>
    <col min="5" max="5" width="17.453125" bestFit="1" customWidth="1"/>
    <col min="6" max="6" width="14.7265625" customWidth="1"/>
    <col min="7" max="7" width="14.26953125" bestFit="1" customWidth="1"/>
    <col min="8" max="8" width="35.26953125" bestFit="1" customWidth="1"/>
    <col min="9" max="13" width="13.81640625" bestFit="1" customWidth="1"/>
    <col min="14" max="14" width="18.1796875" customWidth="1"/>
    <col min="15" max="15" width="21.54296875" bestFit="1" customWidth="1"/>
    <col min="16" max="16" width="13.81640625" customWidth="1"/>
    <col min="17" max="17" width="15.26953125" bestFit="1" customWidth="1"/>
    <col min="18" max="18" width="6.1796875" customWidth="1"/>
    <col min="19" max="19" width="35.1796875" bestFit="1" customWidth="1"/>
    <col min="20" max="27" width="12.26953125" bestFit="1" customWidth="1"/>
    <col min="28" max="28" width="13.81640625" bestFit="1" customWidth="1"/>
    <col min="29" max="29" width="18.1796875" customWidth="1"/>
    <col min="31" max="31" width="13.81640625" bestFit="1" customWidth="1"/>
  </cols>
  <sheetData>
    <row r="1" spans="1:31">
      <c r="A1" s="1" t="s">
        <v>1170</v>
      </c>
      <c r="B1" s="1"/>
    </row>
    <row r="2" spans="1:31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  <c r="AC2">
        <v>29</v>
      </c>
    </row>
    <row r="3" spans="1:31">
      <c r="D3" s="72"/>
      <c r="G3" s="72" t="s">
        <v>213</v>
      </c>
    </row>
    <row r="4" spans="1:31">
      <c r="D4" s="72"/>
      <c r="G4" s="72" t="s">
        <v>1103</v>
      </c>
    </row>
    <row r="5" spans="1:31" ht="15" thickBot="1">
      <c r="D5" s="72"/>
      <c r="G5" s="72"/>
    </row>
    <row r="6" spans="1:31" ht="15" thickBot="1">
      <c r="H6" s="414" t="s">
        <v>1166</v>
      </c>
      <c r="I6" s="415"/>
      <c r="J6" s="415"/>
      <c r="K6" s="415"/>
      <c r="L6" s="415"/>
      <c r="M6" s="415"/>
      <c r="N6" s="416"/>
      <c r="O6" s="386" t="s">
        <v>1213</v>
      </c>
      <c r="P6" s="386" t="s">
        <v>1214</v>
      </c>
      <c r="Q6" s="386" t="s">
        <v>1215</v>
      </c>
      <c r="S6" s="417" t="s">
        <v>1168</v>
      </c>
      <c r="T6" s="418"/>
      <c r="U6" s="418"/>
      <c r="V6" s="418"/>
      <c r="W6" s="418"/>
      <c r="X6" s="418"/>
      <c r="Y6" s="418"/>
      <c r="Z6" s="418"/>
      <c r="AA6" s="418"/>
      <c r="AB6" s="418"/>
      <c r="AC6" s="419"/>
    </row>
    <row r="7" spans="1:31" ht="15" thickBot="1">
      <c r="A7" s="196" t="s">
        <v>0</v>
      </c>
      <c r="B7" s="197" t="s">
        <v>7</v>
      </c>
      <c r="C7" s="198" t="s">
        <v>1</v>
      </c>
      <c r="D7" s="199" t="s">
        <v>2</v>
      </c>
      <c r="E7" s="198" t="s">
        <v>1091</v>
      </c>
      <c r="F7" s="199" t="s">
        <v>1092</v>
      </c>
      <c r="G7" s="241"/>
      <c r="H7" s="231"/>
      <c r="I7" s="324">
        <v>45383</v>
      </c>
      <c r="J7" s="324">
        <v>45413</v>
      </c>
      <c r="K7" s="324">
        <v>45444</v>
      </c>
      <c r="L7" s="324">
        <v>45474</v>
      </c>
      <c r="M7" s="7" t="s">
        <v>48</v>
      </c>
      <c r="N7" s="325" t="s">
        <v>1160</v>
      </c>
      <c r="S7" s="231"/>
      <c r="T7" s="329">
        <v>45505</v>
      </c>
      <c r="U7" s="329">
        <v>45536</v>
      </c>
      <c r="V7" s="329">
        <v>45566</v>
      </c>
      <c r="W7" s="329">
        <v>45597</v>
      </c>
      <c r="X7" s="329">
        <v>45627</v>
      </c>
      <c r="Y7" s="329">
        <v>45658</v>
      </c>
      <c r="Z7" s="329">
        <v>45689</v>
      </c>
      <c r="AA7" s="329">
        <v>45717</v>
      </c>
      <c r="AB7" s="7" t="s">
        <v>48</v>
      </c>
      <c r="AC7" s="325" t="s">
        <v>1160</v>
      </c>
    </row>
    <row r="8" spans="1:31">
      <c r="A8" s="231"/>
      <c r="B8" s="205">
        <v>103560</v>
      </c>
      <c r="C8" s="205" t="s">
        <v>241</v>
      </c>
      <c r="D8" s="205" t="s">
        <v>242</v>
      </c>
      <c r="E8" s="213" t="s">
        <v>6</v>
      </c>
      <c r="F8" s="247" t="s">
        <v>229</v>
      </c>
      <c r="G8" s="206"/>
      <c r="H8" s="326" t="s">
        <v>1161</v>
      </c>
      <c r="I8" s="78">
        <f>$N8*1/12</f>
        <v>105632.66666666667</v>
      </c>
      <c r="J8" s="78">
        <f t="shared" ref="J8:L8" si="0">$N8*1/12</f>
        <v>105632.66666666667</v>
      </c>
      <c r="K8" s="78">
        <f t="shared" si="0"/>
        <v>105632.66666666667</v>
      </c>
      <c r="L8" s="78">
        <f t="shared" si="0"/>
        <v>105632.66666666667</v>
      </c>
      <c r="M8" s="78">
        <f>SUM(I8:L8)</f>
        <v>422530.66666666669</v>
      </c>
      <c r="N8" s="327">
        <v>1267592</v>
      </c>
      <c r="S8" s="231" t="s">
        <v>1161</v>
      </c>
      <c r="T8" s="78">
        <f>$AC8*1/12</f>
        <v>109446.33333333333</v>
      </c>
      <c r="U8" s="78">
        <f t="shared" ref="U8:AA14" si="1">$AC8*1/12</f>
        <v>109446.33333333333</v>
      </c>
      <c r="V8" s="78">
        <f t="shared" si="1"/>
        <v>109446.33333333333</v>
      </c>
      <c r="W8" s="78">
        <f t="shared" si="1"/>
        <v>109446.33333333333</v>
      </c>
      <c r="X8" s="78">
        <f t="shared" si="1"/>
        <v>109446.33333333333</v>
      </c>
      <c r="Y8" s="78">
        <f t="shared" si="1"/>
        <v>109446.33333333333</v>
      </c>
      <c r="Z8" s="78">
        <f t="shared" si="1"/>
        <v>109446.33333333333</v>
      </c>
      <c r="AA8" s="78">
        <f t="shared" si="1"/>
        <v>109446.33333333333</v>
      </c>
      <c r="AB8" s="78">
        <f>SUM(T8:AA8)</f>
        <v>875570.66666666674</v>
      </c>
      <c r="AC8" s="327">
        <v>1313356</v>
      </c>
    </row>
    <row r="9" spans="1:31">
      <c r="A9" s="231"/>
      <c r="B9" s="4"/>
      <c r="C9" s="4"/>
      <c r="D9" s="205" t="s">
        <v>242</v>
      </c>
      <c r="E9" s="213"/>
      <c r="F9" s="248"/>
      <c r="G9" s="37"/>
      <c r="H9" s="326" t="s">
        <v>1162</v>
      </c>
      <c r="I9" s="78">
        <f t="shared" ref="I9:L14" si="2">$N9*1/12</f>
        <v>0</v>
      </c>
      <c r="J9" s="78">
        <f t="shared" si="2"/>
        <v>0</v>
      </c>
      <c r="K9" s="78">
        <f t="shared" si="2"/>
        <v>0</v>
      </c>
      <c r="L9" s="78">
        <f t="shared" si="2"/>
        <v>0</v>
      </c>
      <c r="M9" s="78">
        <f t="shared" ref="M9:M14" si="3">SUM(I9:L9)</f>
        <v>0</v>
      </c>
      <c r="N9" s="327">
        <v>0</v>
      </c>
      <c r="S9" s="231" t="s">
        <v>1162</v>
      </c>
      <c r="T9" s="78">
        <f t="shared" ref="T9:T14" si="4">$AC9*1/12</f>
        <v>0</v>
      </c>
      <c r="U9" s="78">
        <f t="shared" si="1"/>
        <v>0</v>
      </c>
      <c r="V9" s="78">
        <f t="shared" si="1"/>
        <v>0</v>
      </c>
      <c r="W9" s="78">
        <f t="shared" si="1"/>
        <v>0</v>
      </c>
      <c r="X9" s="78">
        <f t="shared" si="1"/>
        <v>0</v>
      </c>
      <c r="Y9" s="78">
        <f t="shared" si="1"/>
        <v>0</v>
      </c>
      <c r="Z9" s="78">
        <f t="shared" si="1"/>
        <v>0</v>
      </c>
      <c r="AA9" s="78">
        <f t="shared" si="1"/>
        <v>0</v>
      </c>
      <c r="AB9" s="78">
        <f t="shared" ref="AB9:AB14" si="5">SUM(T9:AA9)</f>
        <v>0</v>
      </c>
      <c r="AC9" s="327">
        <v>0</v>
      </c>
    </row>
    <row r="10" spans="1:31">
      <c r="A10" s="231"/>
      <c r="B10" s="4"/>
      <c r="C10" s="4"/>
      <c r="D10" s="205" t="s">
        <v>242</v>
      </c>
      <c r="E10" s="213"/>
      <c r="F10" s="248"/>
      <c r="G10" s="37"/>
      <c r="H10" s="326" t="s">
        <v>133</v>
      </c>
      <c r="I10" s="78">
        <f t="shared" si="2"/>
        <v>0</v>
      </c>
      <c r="J10" s="78">
        <f t="shared" si="2"/>
        <v>0</v>
      </c>
      <c r="K10" s="78">
        <f t="shared" si="2"/>
        <v>0</v>
      </c>
      <c r="L10" s="78">
        <f t="shared" si="2"/>
        <v>0</v>
      </c>
      <c r="M10" s="78">
        <f t="shared" si="3"/>
        <v>0</v>
      </c>
      <c r="N10" s="327">
        <v>0</v>
      </c>
      <c r="S10" s="231" t="s">
        <v>133</v>
      </c>
      <c r="T10" s="78">
        <f t="shared" si="4"/>
        <v>1200</v>
      </c>
      <c r="U10" s="78">
        <f t="shared" si="1"/>
        <v>1200</v>
      </c>
      <c r="V10" s="78">
        <f t="shared" si="1"/>
        <v>1200</v>
      </c>
      <c r="W10" s="78">
        <f t="shared" si="1"/>
        <v>1200</v>
      </c>
      <c r="X10" s="78">
        <f t="shared" si="1"/>
        <v>1200</v>
      </c>
      <c r="Y10" s="78">
        <f t="shared" si="1"/>
        <v>1200</v>
      </c>
      <c r="Z10" s="78">
        <f t="shared" si="1"/>
        <v>1200</v>
      </c>
      <c r="AA10" s="78">
        <f t="shared" si="1"/>
        <v>1200</v>
      </c>
      <c r="AB10" s="78">
        <f t="shared" si="5"/>
        <v>9600</v>
      </c>
      <c r="AC10" s="327">
        <v>14400</v>
      </c>
    </row>
    <row r="11" spans="1:31">
      <c r="A11" s="231"/>
      <c r="B11" s="4"/>
      <c r="C11" s="4"/>
      <c r="D11" s="205" t="s">
        <v>242</v>
      </c>
      <c r="E11" s="213"/>
      <c r="F11" s="248"/>
      <c r="G11" s="37"/>
      <c r="H11" s="326" t="s">
        <v>1159</v>
      </c>
      <c r="I11" s="78">
        <f t="shared" si="2"/>
        <v>4000</v>
      </c>
      <c r="J11" s="78">
        <f t="shared" si="2"/>
        <v>4000</v>
      </c>
      <c r="K11" s="78">
        <f t="shared" si="2"/>
        <v>4000</v>
      </c>
      <c r="L11" s="78">
        <f t="shared" si="2"/>
        <v>4000</v>
      </c>
      <c r="M11" s="78">
        <f t="shared" si="3"/>
        <v>16000</v>
      </c>
      <c r="N11" s="327">
        <v>48000</v>
      </c>
      <c r="S11" s="231" t="s">
        <v>1169</v>
      </c>
      <c r="T11" s="78">
        <f t="shared" si="4"/>
        <v>900</v>
      </c>
      <c r="U11" s="78">
        <f t="shared" si="1"/>
        <v>900</v>
      </c>
      <c r="V11" s="78">
        <f t="shared" si="1"/>
        <v>900</v>
      </c>
      <c r="W11" s="78">
        <f t="shared" si="1"/>
        <v>900</v>
      </c>
      <c r="X11" s="78">
        <f t="shared" si="1"/>
        <v>900</v>
      </c>
      <c r="Y11" s="78">
        <f t="shared" si="1"/>
        <v>900</v>
      </c>
      <c r="Z11" s="78">
        <f t="shared" si="1"/>
        <v>900</v>
      </c>
      <c r="AA11" s="78">
        <f t="shared" si="1"/>
        <v>900</v>
      </c>
      <c r="AB11" s="78">
        <f t="shared" si="5"/>
        <v>7200</v>
      </c>
      <c r="AC11" s="327">
        <v>10800</v>
      </c>
    </row>
    <row r="12" spans="1:31">
      <c r="A12" s="231"/>
      <c r="B12" s="4"/>
      <c r="C12" s="4"/>
      <c r="D12" s="205" t="s">
        <v>242</v>
      </c>
      <c r="E12" s="213"/>
      <c r="F12" s="248"/>
      <c r="G12" s="37"/>
      <c r="H12" s="326" t="s">
        <v>1163</v>
      </c>
      <c r="I12" s="78">
        <f t="shared" si="2"/>
        <v>0</v>
      </c>
      <c r="J12" s="78">
        <f t="shared" si="2"/>
        <v>0</v>
      </c>
      <c r="K12" s="78">
        <f t="shared" si="2"/>
        <v>0</v>
      </c>
      <c r="L12" s="78">
        <f t="shared" si="2"/>
        <v>0</v>
      </c>
      <c r="M12" s="78">
        <f t="shared" si="3"/>
        <v>0</v>
      </c>
      <c r="N12" s="327">
        <v>0</v>
      </c>
      <c r="S12" s="231" t="s">
        <v>1159</v>
      </c>
      <c r="T12" s="78">
        <f t="shared" si="4"/>
        <v>4150</v>
      </c>
      <c r="U12" s="78">
        <f t="shared" si="1"/>
        <v>4150</v>
      </c>
      <c r="V12" s="78">
        <f t="shared" si="1"/>
        <v>4150</v>
      </c>
      <c r="W12" s="78">
        <f t="shared" si="1"/>
        <v>4150</v>
      </c>
      <c r="X12" s="78">
        <f t="shared" si="1"/>
        <v>4150</v>
      </c>
      <c r="Y12" s="78">
        <f t="shared" si="1"/>
        <v>4150</v>
      </c>
      <c r="Z12" s="78">
        <f t="shared" si="1"/>
        <v>4150</v>
      </c>
      <c r="AA12" s="78">
        <f t="shared" si="1"/>
        <v>4150</v>
      </c>
      <c r="AB12" s="78">
        <f t="shared" si="5"/>
        <v>33200</v>
      </c>
      <c r="AC12" s="327">
        <v>49800</v>
      </c>
    </row>
    <row r="13" spans="1:31">
      <c r="A13" s="231"/>
      <c r="B13" s="4"/>
      <c r="C13" s="4"/>
      <c r="D13" s="205" t="s">
        <v>242</v>
      </c>
      <c r="E13" s="213"/>
      <c r="F13" s="248"/>
      <c r="G13" s="37"/>
      <c r="H13" s="326" t="s">
        <v>1164</v>
      </c>
      <c r="I13" s="78">
        <f t="shared" si="2"/>
        <v>2914.9166666666665</v>
      </c>
      <c r="J13" s="78">
        <f t="shared" si="2"/>
        <v>2914.9166666666665</v>
      </c>
      <c r="K13" s="78">
        <f t="shared" si="2"/>
        <v>2914.9166666666665</v>
      </c>
      <c r="L13" s="78">
        <f t="shared" si="2"/>
        <v>2914.9166666666665</v>
      </c>
      <c r="M13" s="78">
        <f t="shared" si="3"/>
        <v>11659.666666666666</v>
      </c>
      <c r="N13" s="327">
        <v>34979</v>
      </c>
      <c r="S13" s="231" t="s">
        <v>1167</v>
      </c>
      <c r="T13" s="78">
        <f t="shared" si="4"/>
        <v>183.33333333333334</v>
      </c>
      <c r="U13" s="78">
        <f t="shared" si="1"/>
        <v>183.33333333333334</v>
      </c>
      <c r="V13" s="78">
        <f t="shared" si="1"/>
        <v>183.33333333333334</v>
      </c>
      <c r="W13" s="78">
        <f t="shared" si="1"/>
        <v>183.33333333333334</v>
      </c>
      <c r="X13" s="78">
        <f t="shared" si="1"/>
        <v>183.33333333333334</v>
      </c>
      <c r="Y13" s="78">
        <f t="shared" si="1"/>
        <v>183.33333333333334</v>
      </c>
      <c r="Z13" s="78">
        <f t="shared" si="1"/>
        <v>183.33333333333334</v>
      </c>
      <c r="AA13" s="78">
        <f t="shared" si="1"/>
        <v>183.33333333333334</v>
      </c>
      <c r="AB13" s="78">
        <f t="shared" si="5"/>
        <v>1466.6666666666665</v>
      </c>
      <c r="AC13" s="327">
        <v>2200</v>
      </c>
    </row>
    <row r="14" spans="1:31">
      <c r="A14" s="316"/>
      <c r="B14" s="8"/>
      <c r="C14" s="8"/>
      <c r="D14" s="317" t="s">
        <v>242</v>
      </c>
      <c r="E14" s="318"/>
      <c r="F14" s="319"/>
      <c r="G14" s="37"/>
      <c r="H14" s="330" t="s">
        <v>1165</v>
      </c>
      <c r="I14" s="77">
        <f t="shared" si="2"/>
        <v>977.08333333333337</v>
      </c>
      <c r="J14" s="77">
        <f t="shared" si="2"/>
        <v>977.08333333333337</v>
      </c>
      <c r="K14" s="77">
        <f t="shared" si="2"/>
        <v>977.08333333333337</v>
      </c>
      <c r="L14" s="77">
        <f t="shared" si="2"/>
        <v>977.08333333333337</v>
      </c>
      <c r="M14" s="77">
        <f t="shared" si="3"/>
        <v>3908.3333333333335</v>
      </c>
      <c r="N14" s="331">
        <v>11725</v>
      </c>
      <c r="S14" s="316" t="s">
        <v>1164</v>
      </c>
      <c r="T14" s="77">
        <f t="shared" si="4"/>
        <v>3210.9166666666665</v>
      </c>
      <c r="U14" s="77">
        <f t="shared" si="1"/>
        <v>3210.9166666666665</v>
      </c>
      <c r="V14" s="77">
        <f t="shared" si="1"/>
        <v>3210.9166666666665</v>
      </c>
      <c r="W14" s="77">
        <f t="shared" si="1"/>
        <v>3210.9166666666665</v>
      </c>
      <c r="X14" s="77">
        <f t="shared" si="1"/>
        <v>3210.9166666666665</v>
      </c>
      <c r="Y14" s="77">
        <f t="shared" si="1"/>
        <v>3210.9166666666665</v>
      </c>
      <c r="Z14" s="77">
        <f t="shared" si="1"/>
        <v>3210.9166666666665</v>
      </c>
      <c r="AA14" s="77">
        <f t="shared" si="1"/>
        <v>3210.9166666666665</v>
      </c>
      <c r="AB14" s="77">
        <f t="shared" si="5"/>
        <v>25687.333333333336</v>
      </c>
      <c r="AC14" s="331">
        <v>38531</v>
      </c>
    </row>
    <row r="15" spans="1:31" s="315" customFormat="1" ht="15" thickBot="1">
      <c r="A15" s="310">
        <v>5413</v>
      </c>
      <c r="B15" s="311"/>
      <c r="C15" s="311"/>
      <c r="D15" s="314" t="s">
        <v>242</v>
      </c>
      <c r="E15" s="312"/>
      <c r="F15" s="313"/>
      <c r="G15" s="269"/>
      <c r="H15" s="340" t="s">
        <v>48</v>
      </c>
      <c r="I15" s="341">
        <f t="shared" ref="I15:N15" si="6">SUM(I8:I14)</f>
        <v>113524.66666666667</v>
      </c>
      <c r="J15" s="341">
        <f t="shared" si="6"/>
        <v>113524.66666666667</v>
      </c>
      <c r="K15" s="341">
        <f t="shared" si="6"/>
        <v>113524.66666666667</v>
      </c>
      <c r="L15" s="341">
        <f t="shared" si="6"/>
        <v>113524.66666666667</v>
      </c>
      <c r="M15" s="341">
        <f t="shared" si="6"/>
        <v>454098.66666666669</v>
      </c>
      <c r="N15" s="342">
        <f t="shared" si="6"/>
        <v>1362296</v>
      </c>
      <c r="S15" s="310" t="s">
        <v>48</v>
      </c>
      <c r="T15" s="341">
        <f>SUM(T8:T14)</f>
        <v>119090.58333333333</v>
      </c>
      <c r="U15" s="341">
        <f t="shared" ref="U15:AB15" si="7">SUM(U8:U14)</f>
        <v>119090.58333333333</v>
      </c>
      <c r="V15" s="341">
        <f t="shared" si="7"/>
        <v>119090.58333333333</v>
      </c>
      <c r="W15" s="341">
        <f t="shared" si="7"/>
        <v>119090.58333333333</v>
      </c>
      <c r="X15" s="341">
        <f t="shared" si="7"/>
        <v>119090.58333333333</v>
      </c>
      <c r="Y15" s="341">
        <f t="shared" si="7"/>
        <v>119090.58333333333</v>
      </c>
      <c r="Z15" s="341">
        <f t="shared" si="7"/>
        <v>119090.58333333333</v>
      </c>
      <c r="AA15" s="341">
        <f t="shared" si="7"/>
        <v>119090.58333333333</v>
      </c>
      <c r="AB15" s="341">
        <f t="shared" si="7"/>
        <v>952724.66666666674</v>
      </c>
      <c r="AC15" s="342">
        <f>SUM(AC8:AC14)</f>
        <v>1429087</v>
      </c>
      <c r="AE15" s="385">
        <f>AB15+Q15+M15</f>
        <v>1406823.3333333335</v>
      </c>
    </row>
    <row r="16" spans="1:31" ht="15" thickTop="1">
      <c r="A16" s="320"/>
      <c r="B16" s="321"/>
      <c r="C16" s="321"/>
      <c r="D16" s="317"/>
      <c r="E16" s="318"/>
      <c r="F16" s="322"/>
      <c r="G16" s="37"/>
      <c r="H16" s="334"/>
      <c r="I16" s="290"/>
      <c r="J16" s="290"/>
      <c r="K16" s="290"/>
      <c r="L16" s="290"/>
      <c r="M16" s="290"/>
      <c r="N16" s="335"/>
      <c r="S16" s="308"/>
      <c r="T16" s="254"/>
      <c r="U16" s="254"/>
      <c r="V16" s="254"/>
      <c r="W16" s="254"/>
      <c r="X16" s="254"/>
      <c r="Y16" s="254"/>
      <c r="Z16" s="254"/>
      <c r="AA16" s="254"/>
      <c r="AB16" s="254"/>
      <c r="AC16" s="336"/>
      <c r="AE16" s="63"/>
    </row>
    <row r="17" spans="1:31">
      <c r="A17" s="231"/>
      <c r="B17" s="4">
        <v>103493</v>
      </c>
      <c r="C17" s="4" t="s">
        <v>250</v>
      </c>
      <c r="D17" s="4" t="s">
        <v>251</v>
      </c>
      <c r="E17" s="211" t="s">
        <v>6</v>
      </c>
      <c r="F17" s="248" t="s">
        <v>229</v>
      </c>
      <c r="G17" s="37"/>
      <c r="H17" s="326" t="s">
        <v>1161</v>
      </c>
      <c r="I17" s="212">
        <f>$N17*1/12</f>
        <v>168767.41666666666</v>
      </c>
      <c r="J17" s="212">
        <f t="shared" ref="J17:L17" si="8">$N17*1/12</f>
        <v>168767.41666666666</v>
      </c>
      <c r="K17" s="212">
        <f t="shared" si="8"/>
        <v>168767.41666666666</v>
      </c>
      <c r="L17" s="212">
        <f t="shared" si="8"/>
        <v>168767.41666666666</v>
      </c>
      <c r="M17" s="212">
        <f>SUM(I17:L17)</f>
        <v>675069.66666666663</v>
      </c>
      <c r="N17" s="328">
        <v>2025209</v>
      </c>
      <c r="O17" s="63">
        <v>1999794</v>
      </c>
      <c r="P17" s="63">
        <f>O17*4/12</f>
        <v>666598</v>
      </c>
      <c r="Q17" s="63">
        <f>P17-M17</f>
        <v>-8471.6666666666279</v>
      </c>
      <c r="S17" s="231" t="s">
        <v>1161</v>
      </c>
      <c r="T17" s="78">
        <f>$AC17*1/12</f>
        <v>164855.83333333334</v>
      </c>
      <c r="U17" s="78">
        <f t="shared" ref="U17:AA23" si="9">$AC17*1/12</f>
        <v>164855.83333333334</v>
      </c>
      <c r="V17" s="78">
        <f t="shared" si="9"/>
        <v>164855.83333333334</v>
      </c>
      <c r="W17" s="78">
        <f t="shared" si="9"/>
        <v>164855.83333333334</v>
      </c>
      <c r="X17" s="78">
        <f t="shared" si="9"/>
        <v>164855.83333333334</v>
      </c>
      <c r="Y17" s="78">
        <f t="shared" si="9"/>
        <v>164855.83333333334</v>
      </c>
      <c r="Z17" s="78">
        <f t="shared" si="9"/>
        <v>164855.83333333334</v>
      </c>
      <c r="AA17" s="78">
        <f t="shared" si="9"/>
        <v>164855.83333333334</v>
      </c>
      <c r="AB17" s="78">
        <f>SUM(T17:AA17)</f>
        <v>1318846.6666666667</v>
      </c>
      <c r="AC17" s="327">
        <v>1978270</v>
      </c>
      <c r="AE17" s="63"/>
    </row>
    <row r="18" spans="1:31">
      <c r="A18" s="231"/>
      <c r="B18" s="4"/>
      <c r="C18" s="4"/>
      <c r="D18" s="4" t="s">
        <v>251</v>
      </c>
      <c r="E18" s="213"/>
      <c r="F18" s="248"/>
      <c r="G18" s="37"/>
      <c r="H18" s="326" t="s">
        <v>1162</v>
      </c>
      <c r="I18" s="212">
        <f t="shared" ref="I18:L23" si="10">$N18*1/12</f>
        <v>0</v>
      </c>
      <c r="J18" s="212">
        <f t="shared" si="10"/>
        <v>0</v>
      </c>
      <c r="K18" s="212">
        <f t="shared" si="10"/>
        <v>0</v>
      </c>
      <c r="L18" s="212">
        <f t="shared" si="10"/>
        <v>0</v>
      </c>
      <c r="M18" s="212">
        <f t="shared" ref="M18:M23" si="11">SUM(I18:L18)</f>
        <v>0</v>
      </c>
      <c r="N18" s="328">
        <v>0</v>
      </c>
      <c r="O18" s="63">
        <v>0</v>
      </c>
      <c r="P18" s="63">
        <f t="shared" ref="P18:P23" si="12">O18*4/12</f>
        <v>0</v>
      </c>
      <c r="Q18" s="63">
        <f t="shared" ref="Q18:Q23" si="13">P18-M18</f>
        <v>0</v>
      </c>
      <c r="S18" s="231" t="s">
        <v>1162</v>
      </c>
      <c r="T18" s="78">
        <f t="shared" ref="T18:T23" si="14">$AC18*1/12</f>
        <v>0</v>
      </c>
      <c r="U18" s="78">
        <f t="shared" si="9"/>
        <v>0</v>
      </c>
      <c r="V18" s="78">
        <f t="shared" si="9"/>
        <v>0</v>
      </c>
      <c r="W18" s="78">
        <f t="shared" si="9"/>
        <v>0</v>
      </c>
      <c r="X18" s="78">
        <f t="shared" si="9"/>
        <v>0</v>
      </c>
      <c r="Y18" s="78">
        <f t="shared" si="9"/>
        <v>0</v>
      </c>
      <c r="Z18" s="78">
        <f t="shared" si="9"/>
        <v>0</v>
      </c>
      <c r="AA18" s="78">
        <f t="shared" si="9"/>
        <v>0</v>
      </c>
      <c r="AB18" s="78">
        <f t="shared" ref="AB18:AB23" si="15">SUM(T18:AA18)</f>
        <v>0</v>
      </c>
      <c r="AC18" s="327">
        <v>0</v>
      </c>
      <c r="AE18" s="63"/>
    </row>
    <row r="19" spans="1:31">
      <c r="A19" s="231"/>
      <c r="B19" s="4"/>
      <c r="C19" s="4"/>
      <c r="D19" s="4" t="s">
        <v>251</v>
      </c>
      <c r="E19" s="213"/>
      <c r="F19" s="248"/>
      <c r="G19" s="37"/>
      <c r="H19" s="326" t="s">
        <v>133</v>
      </c>
      <c r="I19" s="212">
        <f t="shared" si="10"/>
        <v>550</v>
      </c>
      <c r="J19" s="212">
        <f t="shared" si="10"/>
        <v>550</v>
      </c>
      <c r="K19" s="212">
        <f t="shared" si="10"/>
        <v>550</v>
      </c>
      <c r="L19" s="212">
        <f t="shared" si="10"/>
        <v>550</v>
      </c>
      <c r="M19" s="212">
        <f t="shared" si="11"/>
        <v>2200</v>
      </c>
      <c r="N19" s="328">
        <v>6600</v>
      </c>
      <c r="O19" s="63">
        <v>6600</v>
      </c>
      <c r="P19" s="63">
        <f t="shared" si="12"/>
        <v>2200</v>
      </c>
      <c r="Q19" s="63">
        <f t="shared" si="13"/>
        <v>0</v>
      </c>
      <c r="S19" s="231" t="s">
        <v>133</v>
      </c>
      <c r="T19" s="78">
        <f t="shared" si="14"/>
        <v>1650</v>
      </c>
      <c r="U19" s="78">
        <f t="shared" si="9"/>
        <v>1650</v>
      </c>
      <c r="V19" s="78">
        <f t="shared" si="9"/>
        <v>1650</v>
      </c>
      <c r="W19" s="78">
        <f t="shared" si="9"/>
        <v>1650</v>
      </c>
      <c r="X19" s="78">
        <f t="shared" si="9"/>
        <v>1650</v>
      </c>
      <c r="Y19" s="78">
        <f t="shared" si="9"/>
        <v>1650</v>
      </c>
      <c r="Z19" s="78">
        <f t="shared" si="9"/>
        <v>1650</v>
      </c>
      <c r="AA19" s="78">
        <f t="shared" si="9"/>
        <v>1650</v>
      </c>
      <c r="AB19" s="78">
        <f t="shared" si="15"/>
        <v>13200</v>
      </c>
      <c r="AC19" s="327">
        <v>19800</v>
      </c>
      <c r="AE19" s="63"/>
    </row>
    <row r="20" spans="1:31">
      <c r="A20" s="231"/>
      <c r="B20" s="4"/>
      <c r="C20" s="4"/>
      <c r="D20" s="4" t="s">
        <v>251</v>
      </c>
      <c r="E20" s="213"/>
      <c r="F20" s="248"/>
      <c r="G20" s="37"/>
      <c r="H20" s="326" t="s">
        <v>1159</v>
      </c>
      <c r="I20" s="212">
        <f t="shared" si="10"/>
        <v>5450</v>
      </c>
      <c r="J20" s="212">
        <f t="shared" si="10"/>
        <v>5450</v>
      </c>
      <c r="K20" s="212">
        <f t="shared" si="10"/>
        <v>5450</v>
      </c>
      <c r="L20" s="212">
        <f t="shared" si="10"/>
        <v>5450</v>
      </c>
      <c r="M20" s="212">
        <f t="shared" si="11"/>
        <v>21800</v>
      </c>
      <c r="N20" s="328">
        <v>65400</v>
      </c>
      <c r="O20" s="63">
        <v>65400</v>
      </c>
      <c r="P20" s="63">
        <f t="shared" si="12"/>
        <v>21800</v>
      </c>
      <c r="Q20" s="63">
        <f t="shared" si="13"/>
        <v>0</v>
      </c>
      <c r="S20" s="231" t="s">
        <v>1159</v>
      </c>
      <c r="T20" s="78">
        <f t="shared" si="14"/>
        <v>6200</v>
      </c>
      <c r="U20" s="78">
        <f t="shared" si="9"/>
        <v>6200</v>
      </c>
      <c r="V20" s="78">
        <f t="shared" si="9"/>
        <v>6200</v>
      </c>
      <c r="W20" s="78">
        <f t="shared" si="9"/>
        <v>6200</v>
      </c>
      <c r="X20" s="78">
        <f t="shared" si="9"/>
        <v>6200</v>
      </c>
      <c r="Y20" s="78">
        <f t="shared" si="9"/>
        <v>6200</v>
      </c>
      <c r="Z20" s="78">
        <f t="shared" si="9"/>
        <v>6200</v>
      </c>
      <c r="AA20" s="78">
        <f t="shared" si="9"/>
        <v>6200</v>
      </c>
      <c r="AB20" s="78">
        <f t="shared" si="15"/>
        <v>49600</v>
      </c>
      <c r="AC20" s="327">
        <v>74400</v>
      </c>
      <c r="AE20" s="63"/>
    </row>
    <row r="21" spans="1:31">
      <c r="A21" s="231"/>
      <c r="B21" s="4"/>
      <c r="C21" s="4"/>
      <c r="D21" s="4" t="s">
        <v>251</v>
      </c>
      <c r="E21" s="213"/>
      <c r="F21" s="248"/>
      <c r="G21" s="37"/>
      <c r="H21" s="326" t="s">
        <v>1163</v>
      </c>
      <c r="I21" s="212">
        <f t="shared" si="10"/>
        <v>572.91666666666663</v>
      </c>
      <c r="J21" s="212">
        <f t="shared" si="10"/>
        <v>572.91666666666663</v>
      </c>
      <c r="K21" s="212">
        <f t="shared" si="10"/>
        <v>572.91666666666663</v>
      </c>
      <c r="L21" s="212">
        <f t="shared" si="10"/>
        <v>572.91666666666663</v>
      </c>
      <c r="M21" s="212">
        <f t="shared" si="11"/>
        <v>2291.6666666666665</v>
      </c>
      <c r="N21" s="328">
        <v>6875</v>
      </c>
      <c r="O21" s="63">
        <v>2750</v>
      </c>
      <c r="P21" s="63">
        <f t="shared" si="12"/>
        <v>916.66666666666663</v>
      </c>
      <c r="Q21" s="63">
        <f t="shared" si="13"/>
        <v>-1375</v>
      </c>
      <c r="S21" s="231" t="s">
        <v>1167</v>
      </c>
      <c r="T21" s="78">
        <f t="shared" si="14"/>
        <v>229.16666666666666</v>
      </c>
      <c r="U21" s="78">
        <f t="shared" si="9"/>
        <v>229.16666666666666</v>
      </c>
      <c r="V21" s="78">
        <f t="shared" si="9"/>
        <v>229.16666666666666</v>
      </c>
      <c r="W21" s="78">
        <f t="shared" si="9"/>
        <v>229.16666666666666</v>
      </c>
      <c r="X21" s="78">
        <f t="shared" si="9"/>
        <v>229.16666666666666</v>
      </c>
      <c r="Y21" s="78">
        <f t="shared" si="9"/>
        <v>229.16666666666666</v>
      </c>
      <c r="Z21" s="78">
        <f t="shared" si="9"/>
        <v>229.16666666666666</v>
      </c>
      <c r="AA21" s="78">
        <f t="shared" si="9"/>
        <v>229.16666666666666</v>
      </c>
      <c r="AB21" s="78">
        <f t="shared" si="15"/>
        <v>1833.3333333333335</v>
      </c>
      <c r="AC21" s="327">
        <v>2750</v>
      </c>
      <c r="AE21" s="63"/>
    </row>
    <row r="22" spans="1:31">
      <c r="A22" s="231"/>
      <c r="B22" s="4"/>
      <c r="C22" s="4"/>
      <c r="D22" s="4" t="s">
        <v>251</v>
      </c>
      <c r="E22" s="213"/>
      <c r="F22" s="248"/>
      <c r="G22" s="37"/>
      <c r="H22" s="326" t="s">
        <v>1164</v>
      </c>
      <c r="I22" s="212">
        <f t="shared" si="10"/>
        <v>7616.583333333333</v>
      </c>
      <c r="J22" s="212">
        <f t="shared" si="10"/>
        <v>7616.583333333333</v>
      </c>
      <c r="K22" s="212">
        <f t="shared" si="10"/>
        <v>7616.583333333333</v>
      </c>
      <c r="L22" s="212">
        <f t="shared" si="10"/>
        <v>7616.583333333333</v>
      </c>
      <c r="M22" s="212">
        <f t="shared" si="11"/>
        <v>30466.333333333332</v>
      </c>
      <c r="N22" s="328">
        <v>91399</v>
      </c>
      <c r="O22" s="63">
        <v>90643</v>
      </c>
      <c r="P22" s="63">
        <f t="shared" si="12"/>
        <v>30214.333333333332</v>
      </c>
      <c r="Q22" s="63">
        <f t="shared" si="13"/>
        <v>-252</v>
      </c>
      <c r="S22" s="231" t="s">
        <v>1164</v>
      </c>
      <c r="T22" s="78">
        <f t="shared" si="14"/>
        <v>7434.25</v>
      </c>
      <c r="U22" s="78">
        <f t="shared" si="9"/>
        <v>7434.25</v>
      </c>
      <c r="V22" s="78">
        <f t="shared" si="9"/>
        <v>7434.25</v>
      </c>
      <c r="W22" s="78">
        <f t="shared" si="9"/>
        <v>7434.25</v>
      </c>
      <c r="X22" s="78">
        <f t="shared" si="9"/>
        <v>7434.25</v>
      </c>
      <c r="Y22" s="78">
        <f t="shared" si="9"/>
        <v>7434.25</v>
      </c>
      <c r="Z22" s="78">
        <f t="shared" si="9"/>
        <v>7434.25</v>
      </c>
      <c r="AA22" s="78">
        <f t="shared" si="9"/>
        <v>7434.25</v>
      </c>
      <c r="AB22" s="78">
        <f t="shared" si="15"/>
        <v>59474</v>
      </c>
      <c r="AC22" s="327">
        <v>89211</v>
      </c>
      <c r="AE22" s="63"/>
    </row>
    <row r="23" spans="1:31">
      <c r="A23" s="316"/>
      <c r="B23" s="8"/>
      <c r="C23" s="8"/>
      <c r="D23" s="8" t="s">
        <v>251</v>
      </c>
      <c r="E23" s="318"/>
      <c r="F23" s="319"/>
      <c r="G23" s="37"/>
      <c r="H23" s="330" t="s">
        <v>1165</v>
      </c>
      <c r="I23" s="332">
        <f t="shared" si="10"/>
        <v>3379.0833333333335</v>
      </c>
      <c r="J23" s="332">
        <f t="shared" si="10"/>
        <v>3379.0833333333335</v>
      </c>
      <c r="K23" s="332">
        <f t="shared" si="10"/>
        <v>3379.0833333333335</v>
      </c>
      <c r="L23" s="332">
        <f t="shared" si="10"/>
        <v>3379.0833333333335</v>
      </c>
      <c r="M23" s="332">
        <f t="shared" si="11"/>
        <v>13516.333333333334</v>
      </c>
      <c r="N23" s="333">
        <v>40549</v>
      </c>
      <c r="O23" s="63">
        <v>40549</v>
      </c>
      <c r="P23" s="63">
        <f t="shared" si="12"/>
        <v>13516.333333333334</v>
      </c>
      <c r="Q23" s="63">
        <f t="shared" si="13"/>
        <v>0</v>
      </c>
      <c r="S23" s="316" t="s">
        <v>1165</v>
      </c>
      <c r="T23" s="77">
        <f t="shared" si="14"/>
        <v>0</v>
      </c>
      <c r="U23" s="77">
        <f t="shared" si="9"/>
        <v>0</v>
      </c>
      <c r="V23" s="77">
        <f t="shared" si="9"/>
        <v>0</v>
      </c>
      <c r="W23" s="77">
        <f t="shared" si="9"/>
        <v>0</v>
      </c>
      <c r="X23" s="77">
        <f t="shared" si="9"/>
        <v>0</v>
      </c>
      <c r="Y23" s="77">
        <f t="shared" si="9"/>
        <v>0</v>
      </c>
      <c r="Z23" s="77">
        <f t="shared" si="9"/>
        <v>0</v>
      </c>
      <c r="AA23" s="77">
        <f t="shared" si="9"/>
        <v>0</v>
      </c>
      <c r="AB23" s="77">
        <f t="shared" si="15"/>
        <v>0</v>
      </c>
      <c r="AC23" s="331"/>
      <c r="AE23" s="63"/>
    </row>
    <row r="24" spans="1:31" s="315" customFormat="1" ht="15" thickBot="1">
      <c r="A24" s="310">
        <v>4115</v>
      </c>
      <c r="B24" s="311"/>
      <c r="C24" s="311"/>
      <c r="D24" s="311" t="s">
        <v>251</v>
      </c>
      <c r="E24" s="312"/>
      <c r="F24" s="313"/>
      <c r="G24" s="269"/>
      <c r="H24" s="340" t="s">
        <v>48</v>
      </c>
      <c r="I24" s="343">
        <f>SUM(I17:I23)</f>
        <v>186336</v>
      </c>
      <c r="J24" s="343">
        <f t="shared" ref="J24:L24" si="16">SUM(J17:J23)</f>
        <v>186336</v>
      </c>
      <c r="K24" s="343">
        <f t="shared" si="16"/>
        <v>186336</v>
      </c>
      <c r="L24" s="343">
        <f t="shared" si="16"/>
        <v>186336</v>
      </c>
      <c r="M24" s="343">
        <f>SUM(M17:M23)</f>
        <v>745344</v>
      </c>
      <c r="N24" s="342">
        <f>SUM(N17:N23)</f>
        <v>2236032</v>
      </c>
      <c r="O24" s="385">
        <f>SUM(O17:O23)</f>
        <v>2205736</v>
      </c>
      <c r="P24" s="385">
        <f>SUM(P17:P23)</f>
        <v>735245.33333333337</v>
      </c>
      <c r="Q24" s="385">
        <f>SUM(Q17:Q23)</f>
        <v>-10098.666666666628</v>
      </c>
      <c r="S24" s="310" t="s">
        <v>48</v>
      </c>
      <c r="T24" s="341">
        <f>SUM(T17:T23)</f>
        <v>180369.25</v>
      </c>
      <c r="U24" s="341">
        <f t="shared" ref="U24" si="17">SUM(U17:U23)</f>
        <v>180369.25</v>
      </c>
      <c r="V24" s="341">
        <f t="shared" ref="V24" si="18">SUM(V17:V23)</f>
        <v>180369.25</v>
      </c>
      <c r="W24" s="341">
        <f t="shared" ref="W24" si="19">SUM(W17:W23)</f>
        <v>180369.25</v>
      </c>
      <c r="X24" s="341">
        <f t="shared" ref="X24" si="20">SUM(X17:X23)</f>
        <v>180369.25</v>
      </c>
      <c r="Y24" s="341">
        <f t="shared" ref="Y24" si="21">SUM(Y17:Y23)</f>
        <v>180369.25</v>
      </c>
      <c r="Z24" s="341">
        <f t="shared" ref="Z24" si="22">SUM(Z17:Z23)</f>
        <v>180369.25</v>
      </c>
      <c r="AA24" s="341">
        <f t="shared" ref="AA24" si="23">SUM(AA17:AA23)</f>
        <v>180369.25</v>
      </c>
      <c r="AB24" s="341">
        <f t="shared" ref="AB24" si="24">SUM(AB17:AB23)</f>
        <v>1442954</v>
      </c>
      <c r="AC24" s="342">
        <f>SUM(AC17:AC23)</f>
        <v>2164431</v>
      </c>
      <c r="AE24" s="385">
        <f>AB24+Q24+M24</f>
        <v>2178199.3333333335</v>
      </c>
    </row>
    <row r="25" spans="1:31" ht="15" thickTop="1">
      <c r="A25" s="320"/>
      <c r="B25" s="321"/>
      <c r="C25" s="321"/>
      <c r="D25" s="321"/>
      <c r="E25" s="318"/>
      <c r="F25" s="322"/>
      <c r="G25" s="37"/>
      <c r="H25" s="334"/>
      <c r="I25" s="244"/>
      <c r="J25" s="244"/>
      <c r="K25" s="244"/>
      <c r="L25" s="244"/>
      <c r="M25" s="244"/>
      <c r="N25" s="335"/>
      <c r="S25" s="308"/>
      <c r="T25" s="254"/>
      <c r="U25" s="254"/>
      <c r="V25" s="254"/>
      <c r="W25" s="254"/>
      <c r="X25" s="254"/>
      <c r="Y25" s="254"/>
      <c r="Z25" s="254"/>
      <c r="AA25" s="254"/>
      <c r="AB25" s="254"/>
      <c r="AC25" s="336"/>
      <c r="AE25" s="63"/>
    </row>
    <row r="26" spans="1:31">
      <c r="A26" s="4"/>
      <c r="B26" s="4">
        <v>103563</v>
      </c>
      <c r="C26" s="4" t="s">
        <v>280</v>
      </c>
      <c r="D26" s="4" t="s">
        <v>281</v>
      </c>
      <c r="E26" s="211" t="s">
        <v>6</v>
      </c>
      <c r="F26" s="212" t="s">
        <v>229</v>
      </c>
      <c r="G26" s="37"/>
      <c r="H26" s="326" t="s">
        <v>1161</v>
      </c>
      <c r="I26" s="78">
        <f>$N26*1/12</f>
        <v>34326</v>
      </c>
      <c r="J26" s="78">
        <f t="shared" ref="J26:L26" si="25">$N26*1/12</f>
        <v>34326</v>
      </c>
      <c r="K26" s="78">
        <f t="shared" si="25"/>
        <v>34326</v>
      </c>
      <c r="L26" s="78">
        <f t="shared" si="25"/>
        <v>34326</v>
      </c>
      <c r="M26" s="78">
        <f>SUM(I26:L26)</f>
        <v>137304</v>
      </c>
      <c r="N26" s="327">
        <v>411912</v>
      </c>
      <c r="S26" s="231" t="s">
        <v>1161</v>
      </c>
      <c r="T26" s="78">
        <f>$AC26*1/12</f>
        <v>25396.916666666668</v>
      </c>
      <c r="U26" s="78">
        <f t="shared" ref="U26:AA32" si="26">$AC26*1/12</f>
        <v>25396.916666666668</v>
      </c>
      <c r="V26" s="78">
        <f t="shared" si="26"/>
        <v>25396.916666666668</v>
      </c>
      <c r="W26" s="78">
        <f t="shared" si="26"/>
        <v>25396.916666666668</v>
      </c>
      <c r="X26" s="78">
        <f t="shared" si="26"/>
        <v>25396.916666666668</v>
      </c>
      <c r="Y26" s="78">
        <f t="shared" si="26"/>
        <v>25396.916666666668</v>
      </c>
      <c r="Z26" s="78">
        <f t="shared" si="26"/>
        <v>25396.916666666668</v>
      </c>
      <c r="AA26" s="78">
        <f t="shared" si="26"/>
        <v>25396.916666666668</v>
      </c>
      <c r="AB26" s="78">
        <f>SUM(T26:AA26)</f>
        <v>203175.33333333331</v>
      </c>
      <c r="AC26" s="327">
        <v>304763</v>
      </c>
      <c r="AE26" s="63"/>
    </row>
    <row r="27" spans="1:31">
      <c r="A27" s="308"/>
      <c r="B27" s="4"/>
      <c r="C27" s="4"/>
      <c r="D27" s="254" t="s">
        <v>281</v>
      </c>
      <c r="E27" s="213"/>
      <c r="F27" s="248"/>
      <c r="G27" s="37"/>
      <c r="H27" s="326" t="s">
        <v>1162</v>
      </c>
      <c r="I27" s="78">
        <f t="shared" ref="I27:L32" si="27">$N27*1/12</f>
        <v>0</v>
      </c>
      <c r="J27" s="78">
        <f t="shared" si="27"/>
        <v>0</v>
      </c>
      <c r="K27" s="78">
        <f t="shared" si="27"/>
        <v>0</v>
      </c>
      <c r="L27" s="78">
        <f t="shared" si="27"/>
        <v>0</v>
      </c>
      <c r="M27" s="78">
        <f t="shared" ref="M27:M32" si="28">SUM(I27:L27)</f>
        <v>0</v>
      </c>
      <c r="N27" s="327">
        <v>0</v>
      </c>
      <c r="S27" s="231" t="s">
        <v>1162</v>
      </c>
      <c r="T27" s="78">
        <f t="shared" ref="T27:T32" si="29">$AC27*1/12</f>
        <v>0</v>
      </c>
      <c r="U27" s="78">
        <f t="shared" si="26"/>
        <v>0</v>
      </c>
      <c r="V27" s="78">
        <f t="shared" si="26"/>
        <v>0</v>
      </c>
      <c r="W27" s="78">
        <f t="shared" si="26"/>
        <v>0</v>
      </c>
      <c r="X27" s="78">
        <f t="shared" si="26"/>
        <v>0</v>
      </c>
      <c r="Y27" s="78">
        <f t="shared" si="26"/>
        <v>0</v>
      </c>
      <c r="Z27" s="78">
        <f t="shared" si="26"/>
        <v>0</v>
      </c>
      <c r="AA27" s="78">
        <f t="shared" si="26"/>
        <v>0</v>
      </c>
      <c r="AB27" s="78">
        <f t="shared" ref="AB27:AB32" si="30">SUM(T27:AA27)</f>
        <v>0</v>
      </c>
      <c r="AC27" s="327"/>
      <c r="AE27" s="63"/>
    </row>
    <row r="28" spans="1:31">
      <c r="A28" s="308"/>
      <c r="B28" s="4"/>
      <c r="C28" s="4"/>
      <c r="D28" s="254" t="s">
        <v>281</v>
      </c>
      <c r="E28" s="213"/>
      <c r="F28" s="248"/>
      <c r="G28" s="37"/>
      <c r="H28" s="326" t="s">
        <v>133</v>
      </c>
      <c r="I28" s="78">
        <f t="shared" si="27"/>
        <v>150</v>
      </c>
      <c r="J28" s="78">
        <f t="shared" si="27"/>
        <v>150</v>
      </c>
      <c r="K28" s="78">
        <f t="shared" si="27"/>
        <v>150</v>
      </c>
      <c r="L28" s="78">
        <f t="shared" si="27"/>
        <v>150</v>
      </c>
      <c r="M28" s="78">
        <f t="shared" si="28"/>
        <v>600</v>
      </c>
      <c r="N28" s="327">
        <v>1800</v>
      </c>
      <c r="S28" s="231" t="s">
        <v>133</v>
      </c>
      <c r="T28" s="78">
        <f t="shared" si="29"/>
        <v>0</v>
      </c>
      <c r="U28" s="78">
        <f t="shared" si="26"/>
        <v>0</v>
      </c>
      <c r="V28" s="78">
        <f t="shared" si="26"/>
        <v>0</v>
      </c>
      <c r="W28" s="78">
        <f t="shared" si="26"/>
        <v>0</v>
      </c>
      <c r="X28" s="78">
        <f t="shared" si="26"/>
        <v>0</v>
      </c>
      <c r="Y28" s="78">
        <f t="shared" si="26"/>
        <v>0</v>
      </c>
      <c r="Z28" s="78">
        <f t="shared" si="26"/>
        <v>0</v>
      </c>
      <c r="AA28" s="78">
        <f t="shared" si="26"/>
        <v>0</v>
      </c>
      <c r="AB28" s="78">
        <f t="shared" si="30"/>
        <v>0</v>
      </c>
      <c r="AC28" s="327"/>
      <c r="AE28" s="63"/>
    </row>
    <row r="29" spans="1:31">
      <c r="A29" s="308"/>
      <c r="B29" s="4"/>
      <c r="C29" s="4"/>
      <c r="D29" s="254" t="s">
        <v>281</v>
      </c>
      <c r="E29" s="213"/>
      <c r="F29" s="248"/>
      <c r="G29" s="37"/>
      <c r="H29" s="326" t="s">
        <v>1159</v>
      </c>
      <c r="I29" s="78">
        <f t="shared" si="27"/>
        <v>1600</v>
      </c>
      <c r="J29" s="78">
        <f t="shared" si="27"/>
        <v>1600</v>
      </c>
      <c r="K29" s="78">
        <f t="shared" si="27"/>
        <v>1600</v>
      </c>
      <c r="L29" s="78">
        <f t="shared" si="27"/>
        <v>1600</v>
      </c>
      <c r="M29" s="78">
        <f t="shared" si="28"/>
        <v>6400</v>
      </c>
      <c r="N29" s="327">
        <v>19200</v>
      </c>
      <c r="S29" s="231" t="s">
        <v>1159</v>
      </c>
      <c r="T29" s="78">
        <f t="shared" si="29"/>
        <v>1300</v>
      </c>
      <c r="U29" s="78">
        <f t="shared" si="26"/>
        <v>1300</v>
      </c>
      <c r="V29" s="78">
        <f t="shared" si="26"/>
        <v>1300</v>
      </c>
      <c r="W29" s="78">
        <f t="shared" si="26"/>
        <v>1300</v>
      </c>
      <c r="X29" s="78">
        <f t="shared" si="26"/>
        <v>1300</v>
      </c>
      <c r="Y29" s="78">
        <f t="shared" si="26"/>
        <v>1300</v>
      </c>
      <c r="Z29" s="78">
        <f t="shared" si="26"/>
        <v>1300</v>
      </c>
      <c r="AA29" s="78">
        <f t="shared" si="26"/>
        <v>1300</v>
      </c>
      <c r="AB29" s="78">
        <f t="shared" si="30"/>
        <v>10400</v>
      </c>
      <c r="AC29" s="327">
        <v>15600</v>
      </c>
      <c r="AE29" s="63"/>
    </row>
    <row r="30" spans="1:31">
      <c r="A30" s="308"/>
      <c r="B30" s="4"/>
      <c r="C30" s="4"/>
      <c r="D30" s="254" t="s">
        <v>281</v>
      </c>
      <c r="E30" s="213"/>
      <c r="F30" s="248"/>
      <c r="G30" s="37"/>
      <c r="H30" s="326" t="s">
        <v>1163</v>
      </c>
      <c r="I30" s="78">
        <f t="shared" si="27"/>
        <v>0</v>
      </c>
      <c r="J30" s="78">
        <f t="shared" si="27"/>
        <v>0</v>
      </c>
      <c r="K30" s="78">
        <f t="shared" si="27"/>
        <v>0</v>
      </c>
      <c r="L30" s="78">
        <f t="shared" si="27"/>
        <v>0</v>
      </c>
      <c r="M30" s="78">
        <f t="shared" si="28"/>
        <v>0</v>
      </c>
      <c r="N30" s="327">
        <v>0</v>
      </c>
      <c r="S30" s="231" t="s">
        <v>1167</v>
      </c>
      <c r="T30" s="78">
        <f t="shared" si="29"/>
        <v>0</v>
      </c>
      <c r="U30" s="78">
        <f t="shared" si="26"/>
        <v>0</v>
      </c>
      <c r="V30" s="78">
        <f t="shared" si="26"/>
        <v>0</v>
      </c>
      <c r="W30" s="78">
        <f t="shared" si="26"/>
        <v>0</v>
      </c>
      <c r="X30" s="78">
        <f t="shared" si="26"/>
        <v>0</v>
      </c>
      <c r="Y30" s="78">
        <f t="shared" si="26"/>
        <v>0</v>
      </c>
      <c r="Z30" s="78">
        <f t="shared" si="26"/>
        <v>0</v>
      </c>
      <c r="AA30" s="78">
        <f t="shared" si="26"/>
        <v>0</v>
      </c>
      <c r="AB30" s="78">
        <f t="shared" si="30"/>
        <v>0</v>
      </c>
      <c r="AC30" s="327"/>
      <c r="AE30" s="63"/>
    </row>
    <row r="31" spans="1:31">
      <c r="A31" s="308"/>
      <c r="B31" s="4"/>
      <c r="C31" s="4"/>
      <c r="D31" s="254" t="s">
        <v>281</v>
      </c>
      <c r="E31" s="213"/>
      <c r="F31" s="248"/>
      <c r="G31" s="37"/>
      <c r="H31" s="326" t="s">
        <v>1164</v>
      </c>
      <c r="I31" s="78">
        <f t="shared" si="27"/>
        <v>882.75</v>
      </c>
      <c r="J31" s="78">
        <f t="shared" si="27"/>
        <v>882.75</v>
      </c>
      <c r="K31" s="78">
        <f t="shared" si="27"/>
        <v>882.75</v>
      </c>
      <c r="L31" s="78">
        <f t="shared" si="27"/>
        <v>882.75</v>
      </c>
      <c r="M31" s="78">
        <f t="shared" si="28"/>
        <v>3531</v>
      </c>
      <c r="N31" s="327">
        <v>10593</v>
      </c>
      <c r="S31" s="231" t="s">
        <v>1164</v>
      </c>
      <c r="T31" s="78">
        <f t="shared" si="29"/>
        <v>655.83333333333337</v>
      </c>
      <c r="U31" s="78">
        <f t="shared" si="26"/>
        <v>655.83333333333337</v>
      </c>
      <c r="V31" s="78">
        <f t="shared" si="26"/>
        <v>655.83333333333337</v>
      </c>
      <c r="W31" s="78">
        <f t="shared" si="26"/>
        <v>655.83333333333337</v>
      </c>
      <c r="X31" s="78">
        <f t="shared" si="26"/>
        <v>655.83333333333337</v>
      </c>
      <c r="Y31" s="78">
        <f t="shared" si="26"/>
        <v>655.83333333333337</v>
      </c>
      <c r="Z31" s="78">
        <f t="shared" si="26"/>
        <v>655.83333333333337</v>
      </c>
      <c r="AA31" s="78">
        <f t="shared" si="26"/>
        <v>655.83333333333337</v>
      </c>
      <c r="AB31" s="78">
        <f t="shared" si="30"/>
        <v>5246.666666666667</v>
      </c>
      <c r="AC31" s="327">
        <v>7870</v>
      </c>
      <c r="AE31" s="63"/>
    </row>
    <row r="32" spans="1:31">
      <c r="A32" s="320"/>
      <c r="B32" s="8"/>
      <c r="C32" s="8"/>
      <c r="D32" s="321" t="s">
        <v>281</v>
      </c>
      <c r="E32" s="318"/>
      <c r="F32" s="319"/>
      <c r="G32" s="37"/>
      <c r="H32" s="330" t="s">
        <v>1165</v>
      </c>
      <c r="I32" s="77">
        <f t="shared" si="27"/>
        <v>415.16666666666669</v>
      </c>
      <c r="J32" s="77">
        <f t="shared" si="27"/>
        <v>415.16666666666669</v>
      </c>
      <c r="K32" s="77">
        <f t="shared" si="27"/>
        <v>415.16666666666669</v>
      </c>
      <c r="L32" s="77">
        <f t="shared" si="27"/>
        <v>415.16666666666669</v>
      </c>
      <c r="M32" s="77">
        <f t="shared" si="28"/>
        <v>1660.6666666666667</v>
      </c>
      <c r="N32" s="331">
        <v>4982</v>
      </c>
      <c r="S32" s="316" t="s">
        <v>1165</v>
      </c>
      <c r="T32" s="77">
        <f t="shared" si="29"/>
        <v>0</v>
      </c>
      <c r="U32" s="77">
        <f t="shared" si="26"/>
        <v>0</v>
      </c>
      <c r="V32" s="77">
        <f t="shared" si="26"/>
        <v>0</v>
      </c>
      <c r="W32" s="77">
        <f t="shared" si="26"/>
        <v>0</v>
      </c>
      <c r="X32" s="77">
        <f t="shared" si="26"/>
        <v>0</v>
      </c>
      <c r="Y32" s="77">
        <f t="shared" si="26"/>
        <v>0</v>
      </c>
      <c r="Z32" s="77">
        <f t="shared" si="26"/>
        <v>0</v>
      </c>
      <c r="AA32" s="77">
        <f t="shared" si="26"/>
        <v>0</v>
      </c>
      <c r="AB32" s="77">
        <f t="shared" si="30"/>
        <v>0</v>
      </c>
      <c r="AC32" s="331"/>
      <c r="AE32" s="63"/>
    </row>
    <row r="33" spans="1:31" s="315" customFormat="1" ht="15" thickBot="1">
      <c r="A33" s="310">
        <v>5416</v>
      </c>
      <c r="B33" s="311"/>
      <c r="C33" s="311"/>
      <c r="D33" s="311" t="s">
        <v>281</v>
      </c>
      <c r="E33" s="312"/>
      <c r="F33" s="313"/>
      <c r="G33" s="269"/>
      <c r="H33" s="340" t="s">
        <v>48</v>
      </c>
      <c r="I33" s="341">
        <f>SUM(I26:I32)</f>
        <v>37373.916666666664</v>
      </c>
      <c r="J33" s="341">
        <f t="shared" ref="J33" si="31">SUM(J26:J32)</f>
        <v>37373.916666666664</v>
      </c>
      <c r="K33" s="341">
        <f t="shared" ref="K33" si="32">SUM(K26:K32)</f>
        <v>37373.916666666664</v>
      </c>
      <c r="L33" s="341">
        <f t="shared" ref="L33" si="33">SUM(L26:L32)</f>
        <v>37373.916666666664</v>
      </c>
      <c r="M33" s="341">
        <f>SUM(M26:M32)</f>
        <v>149495.66666666666</v>
      </c>
      <c r="N33" s="342">
        <f>SUM(N26:N32)</f>
        <v>448487</v>
      </c>
      <c r="S33" s="310" t="s">
        <v>48</v>
      </c>
      <c r="T33" s="341">
        <f>SUM(T26:T32)</f>
        <v>27352.75</v>
      </c>
      <c r="U33" s="341">
        <f t="shared" ref="U33" si="34">SUM(U26:U32)</f>
        <v>27352.75</v>
      </c>
      <c r="V33" s="341">
        <f t="shared" ref="V33" si="35">SUM(V26:V32)</f>
        <v>27352.75</v>
      </c>
      <c r="W33" s="341">
        <f t="shared" ref="W33" si="36">SUM(W26:W32)</f>
        <v>27352.75</v>
      </c>
      <c r="X33" s="341">
        <f t="shared" ref="X33" si="37">SUM(X26:X32)</f>
        <v>27352.75</v>
      </c>
      <c r="Y33" s="341">
        <f t="shared" ref="Y33" si="38">SUM(Y26:Y32)</f>
        <v>27352.75</v>
      </c>
      <c r="Z33" s="341">
        <f t="shared" ref="Z33" si="39">SUM(Z26:Z32)</f>
        <v>27352.75</v>
      </c>
      <c r="AA33" s="341">
        <f t="shared" ref="AA33" si="40">SUM(AA26:AA32)</f>
        <v>27352.75</v>
      </c>
      <c r="AB33" s="341">
        <f t="shared" ref="AB33" si="41">SUM(AB26:AB32)</f>
        <v>218821.99999999997</v>
      </c>
      <c r="AC33" s="342">
        <f>SUM(AC26:AC32)</f>
        <v>328233</v>
      </c>
      <c r="AE33" s="385">
        <f>AB33+Q33+M33</f>
        <v>368317.66666666663</v>
      </c>
    </row>
    <row r="34" spans="1:31" ht="15" thickTop="1">
      <c r="A34" s="308"/>
      <c r="B34" s="254"/>
      <c r="C34" s="254"/>
      <c r="D34" s="254"/>
      <c r="E34" s="213"/>
      <c r="F34" s="309"/>
      <c r="G34" s="37"/>
      <c r="H34" s="334"/>
      <c r="I34" s="244"/>
      <c r="J34" s="254"/>
      <c r="K34" s="254"/>
      <c r="L34" s="254"/>
      <c r="M34" s="254"/>
      <c r="N34" s="336"/>
      <c r="S34" s="308"/>
      <c r="T34" s="254"/>
      <c r="U34" s="254"/>
      <c r="V34" s="254"/>
      <c r="W34" s="254"/>
      <c r="X34" s="254"/>
      <c r="Y34" s="254"/>
      <c r="Z34" s="254"/>
      <c r="AA34" s="254"/>
      <c r="AB34" s="254"/>
      <c r="AC34" s="336"/>
      <c r="AE34" s="63"/>
    </row>
    <row r="35" spans="1:31">
      <c r="A35" s="231"/>
      <c r="B35" s="4">
        <v>103509</v>
      </c>
      <c r="C35" s="4" t="s">
        <v>308</v>
      </c>
      <c r="D35" s="4" t="s">
        <v>309</v>
      </c>
      <c r="E35" s="213" t="s">
        <v>6</v>
      </c>
      <c r="F35" s="248" t="s">
        <v>229</v>
      </c>
      <c r="G35" s="37"/>
      <c r="H35" s="326" t="s">
        <v>1161</v>
      </c>
      <c r="I35" s="78">
        <f>$N35*1/12</f>
        <v>80589.083333333328</v>
      </c>
      <c r="J35" s="78">
        <f t="shared" ref="J35:L35" si="42">$N35*1/12</f>
        <v>80589.083333333328</v>
      </c>
      <c r="K35" s="78">
        <f t="shared" si="42"/>
        <v>80589.083333333328</v>
      </c>
      <c r="L35" s="78">
        <f t="shared" si="42"/>
        <v>80589.083333333328</v>
      </c>
      <c r="M35" s="78">
        <f>SUM(I35:L35)</f>
        <v>322356.33333333331</v>
      </c>
      <c r="N35" s="327">
        <v>967069</v>
      </c>
      <c r="O35" s="63">
        <v>877989</v>
      </c>
      <c r="P35" s="63">
        <f>O35*4/12</f>
        <v>292663</v>
      </c>
      <c r="Q35" s="63">
        <f>P35-M35</f>
        <v>-29693.333333333314</v>
      </c>
      <c r="S35" s="231" t="s">
        <v>1161</v>
      </c>
      <c r="T35" s="78">
        <f>$AC35*1/12</f>
        <v>70032.75</v>
      </c>
      <c r="U35" s="78">
        <f t="shared" ref="U35:AA41" si="43">$AC35*1/12</f>
        <v>70032.75</v>
      </c>
      <c r="V35" s="78">
        <f t="shared" si="43"/>
        <v>70032.75</v>
      </c>
      <c r="W35" s="78">
        <f t="shared" si="43"/>
        <v>70032.75</v>
      </c>
      <c r="X35" s="78">
        <f t="shared" si="43"/>
        <v>70032.75</v>
      </c>
      <c r="Y35" s="78">
        <f t="shared" si="43"/>
        <v>70032.75</v>
      </c>
      <c r="Z35" s="78">
        <f t="shared" si="43"/>
        <v>70032.75</v>
      </c>
      <c r="AA35" s="78">
        <f t="shared" si="43"/>
        <v>70032.75</v>
      </c>
      <c r="AB35" s="78">
        <f>SUM(T35:AA35)</f>
        <v>560262</v>
      </c>
      <c r="AC35" s="327">
        <v>840393</v>
      </c>
      <c r="AE35" s="63"/>
    </row>
    <row r="36" spans="1:31">
      <c r="A36" s="231"/>
      <c r="B36" s="4"/>
      <c r="C36" s="4"/>
      <c r="D36" s="4" t="s">
        <v>309</v>
      </c>
      <c r="E36" s="213"/>
      <c r="F36" s="248"/>
      <c r="G36" s="37"/>
      <c r="H36" s="326" t="s">
        <v>1162</v>
      </c>
      <c r="I36" s="78">
        <f t="shared" ref="I36:L41" si="44">$N36*1/12</f>
        <v>0</v>
      </c>
      <c r="J36" s="78">
        <f t="shared" si="44"/>
        <v>0</v>
      </c>
      <c r="K36" s="78">
        <f t="shared" si="44"/>
        <v>0</v>
      </c>
      <c r="L36" s="78">
        <f t="shared" si="44"/>
        <v>0</v>
      </c>
      <c r="M36" s="78">
        <f t="shared" ref="M36:M41" si="45">SUM(I36:L36)</f>
        <v>0</v>
      </c>
      <c r="N36" s="327">
        <v>0</v>
      </c>
      <c r="O36" s="63">
        <v>0</v>
      </c>
      <c r="P36" s="63">
        <f t="shared" ref="P36:P41" si="46">O36*4/12</f>
        <v>0</v>
      </c>
      <c r="Q36" s="63">
        <f t="shared" ref="Q36:Q41" si="47">P36-M36</f>
        <v>0</v>
      </c>
      <c r="S36" s="231" t="s">
        <v>1162</v>
      </c>
      <c r="T36" s="78">
        <f t="shared" ref="T36:T41" si="48">$AC36*1/12</f>
        <v>0</v>
      </c>
      <c r="U36" s="78">
        <f t="shared" si="43"/>
        <v>0</v>
      </c>
      <c r="V36" s="78">
        <f t="shared" si="43"/>
        <v>0</v>
      </c>
      <c r="W36" s="78">
        <f t="shared" si="43"/>
        <v>0</v>
      </c>
      <c r="X36" s="78">
        <f t="shared" si="43"/>
        <v>0</v>
      </c>
      <c r="Y36" s="78">
        <f t="shared" si="43"/>
        <v>0</v>
      </c>
      <c r="Z36" s="78">
        <f t="shared" si="43"/>
        <v>0</v>
      </c>
      <c r="AA36" s="78">
        <f t="shared" si="43"/>
        <v>0</v>
      </c>
      <c r="AB36" s="78">
        <f t="shared" ref="AB36:AB41" si="49">SUM(T36:AA36)</f>
        <v>0</v>
      </c>
      <c r="AC36" s="327">
        <v>0</v>
      </c>
      <c r="AE36" s="63"/>
    </row>
    <row r="37" spans="1:31">
      <c r="A37" s="231"/>
      <c r="B37" s="4"/>
      <c r="C37" s="4"/>
      <c r="D37" s="4" t="s">
        <v>309</v>
      </c>
      <c r="E37" s="213"/>
      <c r="F37" s="248"/>
      <c r="G37" s="37"/>
      <c r="H37" s="326" t="s">
        <v>133</v>
      </c>
      <c r="I37" s="78">
        <f t="shared" si="44"/>
        <v>400</v>
      </c>
      <c r="J37" s="78">
        <f t="shared" si="44"/>
        <v>400</v>
      </c>
      <c r="K37" s="78">
        <f t="shared" si="44"/>
        <v>400</v>
      </c>
      <c r="L37" s="78">
        <f t="shared" si="44"/>
        <v>400</v>
      </c>
      <c r="M37" s="78">
        <f t="shared" si="45"/>
        <v>1600</v>
      </c>
      <c r="N37" s="327">
        <v>4800</v>
      </c>
      <c r="O37" s="63">
        <v>16200</v>
      </c>
      <c r="P37" s="63">
        <f t="shared" si="46"/>
        <v>5400</v>
      </c>
      <c r="Q37" s="63">
        <f t="shared" si="47"/>
        <v>3800</v>
      </c>
      <c r="S37" s="231" t="s">
        <v>133</v>
      </c>
      <c r="T37" s="78">
        <f t="shared" si="48"/>
        <v>0</v>
      </c>
      <c r="U37" s="78">
        <f t="shared" si="43"/>
        <v>0</v>
      </c>
      <c r="V37" s="78">
        <f t="shared" si="43"/>
        <v>0</v>
      </c>
      <c r="W37" s="78">
        <f t="shared" si="43"/>
        <v>0</v>
      </c>
      <c r="X37" s="78">
        <f t="shared" si="43"/>
        <v>0</v>
      </c>
      <c r="Y37" s="78">
        <f t="shared" si="43"/>
        <v>0</v>
      </c>
      <c r="Z37" s="78">
        <f t="shared" si="43"/>
        <v>0</v>
      </c>
      <c r="AA37" s="78">
        <f t="shared" si="43"/>
        <v>0</v>
      </c>
      <c r="AB37" s="78">
        <f t="shared" si="49"/>
        <v>0</v>
      </c>
      <c r="AC37" s="327">
        <v>0</v>
      </c>
      <c r="AE37" s="63"/>
    </row>
    <row r="38" spans="1:31">
      <c r="A38" s="231"/>
      <c r="B38" s="4"/>
      <c r="C38" s="4"/>
      <c r="D38" s="4" t="s">
        <v>309</v>
      </c>
      <c r="E38" s="213"/>
      <c r="F38" s="248"/>
      <c r="G38" s="37"/>
      <c r="H38" s="326" t="s">
        <v>1159</v>
      </c>
      <c r="I38" s="78">
        <f t="shared" si="44"/>
        <v>3350</v>
      </c>
      <c r="J38" s="78">
        <f t="shared" si="44"/>
        <v>3350</v>
      </c>
      <c r="K38" s="78">
        <f t="shared" si="44"/>
        <v>3350</v>
      </c>
      <c r="L38" s="78">
        <f t="shared" si="44"/>
        <v>3350</v>
      </c>
      <c r="M38" s="78">
        <f t="shared" si="45"/>
        <v>13400</v>
      </c>
      <c r="N38" s="327">
        <v>40200</v>
      </c>
      <c r="O38" s="63">
        <v>50400</v>
      </c>
      <c r="P38" s="63">
        <f t="shared" si="46"/>
        <v>16800</v>
      </c>
      <c r="Q38" s="63">
        <f t="shared" si="47"/>
        <v>3400</v>
      </c>
      <c r="S38" s="231" t="s">
        <v>1159</v>
      </c>
      <c r="T38" s="78">
        <f t="shared" si="48"/>
        <v>4500</v>
      </c>
      <c r="U38" s="78">
        <f t="shared" si="43"/>
        <v>4500</v>
      </c>
      <c r="V38" s="78">
        <f t="shared" si="43"/>
        <v>4500</v>
      </c>
      <c r="W38" s="78">
        <f t="shared" si="43"/>
        <v>4500</v>
      </c>
      <c r="X38" s="78">
        <f t="shared" si="43"/>
        <v>4500</v>
      </c>
      <c r="Y38" s="78">
        <f t="shared" si="43"/>
        <v>4500</v>
      </c>
      <c r="Z38" s="78">
        <f t="shared" si="43"/>
        <v>4500</v>
      </c>
      <c r="AA38" s="78">
        <f t="shared" si="43"/>
        <v>4500</v>
      </c>
      <c r="AB38" s="78">
        <f t="shared" si="49"/>
        <v>36000</v>
      </c>
      <c r="AC38" s="327">
        <v>54000</v>
      </c>
      <c r="AE38" s="63"/>
    </row>
    <row r="39" spans="1:31">
      <c r="A39" s="231"/>
      <c r="B39" s="4"/>
      <c r="C39" s="4"/>
      <c r="D39" s="4" t="s">
        <v>309</v>
      </c>
      <c r="E39" s="213"/>
      <c r="F39" s="248"/>
      <c r="G39" s="37"/>
      <c r="H39" s="326" t="s">
        <v>1163</v>
      </c>
      <c r="I39" s="78">
        <f t="shared" si="44"/>
        <v>0</v>
      </c>
      <c r="J39" s="78">
        <f t="shared" si="44"/>
        <v>0</v>
      </c>
      <c r="K39" s="78">
        <f t="shared" si="44"/>
        <v>0</v>
      </c>
      <c r="L39" s="78">
        <f t="shared" si="44"/>
        <v>0</v>
      </c>
      <c r="M39" s="78">
        <f t="shared" si="45"/>
        <v>0</v>
      </c>
      <c r="N39" s="327">
        <v>0</v>
      </c>
      <c r="O39" s="63">
        <v>0</v>
      </c>
      <c r="P39" s="63">
        <f t="shared" si="46"/>
        <v>0</v>
      </c>
      <c r="Q39" s="63">
        <f t="shared" si="47"/>
        <v>0</v>
      </c>
      <c r="S39" s="231" t="s">
        <v>1167</v>
      </c>
      <c r="T39" s="78">
        <f t="shared" si="48"/>
        <v>0</v>
      </c>
      <c r="U39" s="78">
        <f t="shared" si="43"/>
        <v>0</v>
      </c>
      <c r="V39" s="78">
        <f t="shared" si="43"/>
        <v>0</v>
      </c>
      <c r="W39" s="78">
        <f t="shared" si="43"/>
        <v>0</v>
      </c>
      <c r="X39" s="78">
        <f t="shared" si="43"/>
        <v>0</v>
      </c>
      <c r="Y39" s="78">
        <f t="shared" si="43"/>
        <v>0</v>
      </c>
      <c r="Z39" s="78">
        <f t="shared" si="43"/>
        <v>0</v>
      </c>
      <c r="AA39" s="78">
        <f t="shared" si="43"/>
        <v>0</v>
      </c>
      <c r="AB39" s="78">
        <f t="shared" si="49"/>
        <v>0</v>
      </c>
      <c r="AC39" s="327"/>
      <c r="AE39" s="63"/>
    </row>
    <row r="40" spans="1:31">
      <c r="A40" s="231"/>
      <c r="B40" s="4"/>
      <c r="C40" s="4"/>
      <c r="D40" s="4" t="s">
        <v>309</v>
      </c>
      <c r="E40" s="213"/>
      <c r="F40" s="248"/>
      <c r="G40" s="37"/>
      <c r="H40" s="326" t="s">
        <v>1164</v>
      </c>
      <c r="I40" s="78">
        <f t="shared" si="44"/>
        <v>3398.75</v>
      </c>
      <c r="J40" s="78">
        <f t="shared" si="44"/>
        <v>3398.75</v>
      </c>
      <c r="K40" s="78">
        <f t="shared" si="44"/>
        <v>3398.75</v>
      </c>
      <c r="L40" s="78">
        <f t="shared" si="44"/>
        <v>3398.75</v>
      </c>
      <c r="M40" s="78">
        <f t="shared" si="45"/>
        <v>13595</v>
      </c>
      <c r="N40" s="327">
        <v>40785</v>
      </c>
      <c r="O40" s="63">
        <v>38354</v>
      </c>
      <c r="P40" s="63">
        <f t="shared" si="46"/>
        <v>12784.666666666666</v>
      </c>
      <c r="Q40" s="63">
        <f t="shared" si="47"/>
        <v>-810.33333333333394</v>
      </c>
      <c r="S40" s="231" t="s">
        <v>1164</v>
      </c>
      <c r="T40" s="78">
        <f t="shared" si="48"/>
        <v>2914.4166666666665</v>
      </c>
      <c r="U40" s="78">
        <f t="shared" si="43"/>
        <v>2914.4166666666665</v>
      </c>
      <c r="V40" s="78">
        <f t="shared" si="43"/>
        <v>2914.4166666666665</v>
      </c>
      <c r="W40" s="78">
        <f t="shared" si="43"/>
        <v>2914.4166666666665</v>
      </c>
      <c r="X40" s="78">
        <f t="shared" si="43"/>
        <v>2914.4166666666665</v>
      </c>
      <c r="Y40" s="78">
        <f t="shared" si="43"/>
        <v>2914.4166666666665</v>
      </c>
      <c r="Z40" s="78">
        <f t="shared" si="43"/>
        <v>2914.4166666666665</v>
      </c>
      <c r="AA40" s="78">
        <f t="shared" si="43"/>
        <v>2914.4166666666665</v>
      </c>
      <c r="AB40" s="78">
        <f t="shared" si="49"/>
        <v>23315.333333333336</v>
      </c>
      <c r="AC40" s="327">
        <v>34973</v>
      </c>
      <c r="AE40" s="63"/>
    </row>
    <row r="41" spans="1:31">
      <c r="A41" s="316"/>
      <c r="B41" s="8"/>
      <c r="C41" s="8"/>
      <c r="D41" s="8" t="s">
        <v>309</v>
      </c>
      <c r="E41" s="318"/>
      <c r="F41" s="319"/>
      <c r="G41" s="37"/>
      <c r="H41" s="330" t="s">
        <v>1165</v>
      </c>
      <c r="I41" s="77">
        <f t="shared" si="44"/>
        <v>1488.4166666666667</v>
      </c>
      <c r="J41" s="77">
        <f t="shared" si="44"/>
        <v>1488.4166666666667</v>
      </c>
      <c r="K41" s="77">
        <f t="shared" si="44"/>
        <v>1488.4166666666667</v>
      </c>
      <c r="L41" s="77">
        <f t="shared" si="44"/>
        <v>1488.4166666666667</v>
      </c>
      <c r="M41" s="77">
        <f t="shared" si="45"/>
        <v>5953.666666666667</v>
      </c>
      <c r="N41" s="331">
        <v>17861</v>
      </c>
      <c r="O41" s="63"/>
      <c r="P41" s="63">
        <f t="shared" si="46"/>
        <v>0</v>
      </c>
      <c r="Q41" s="63">
        <f t="shared" si="47"/>
        <v>-5953.666666666667</v>
      </c>
      <c r="S41" s="316" t="s">
        <v>1165</v>
      </c>
      <c r="T41" s="77">
        <f t="shared" si="48"/>
        <v>0</v>
      </c>
      <c r="U41" s="77">
        <f t="shared" si="43"/>
        <v>0</v>
      </c>
      <c r="V41" s="77">
        <f t="shared" si="43"/>
        <v>0</v>
      </c>
      <c r="W41" s="77">
        <f t="shared" si="43"/>
        <v>0</v>
      </c>
      <c r="X41" s="77">
        <f t="shared" si="43"/>
        <v>0</v>
      </c>
      <c r="Y41" s="77">
        <f t="shared" si="43"/>
        <v>0</v>
      </c>
      <c r="Z41" s="77">
        <f t="shared" si="43"/>
        <v>0</v>
      </c>
      <c r="AA41" s="77">
        <f t="shared" si="43"/>
        <v>0</v>
      </c>
      <c r="AB41" s="77">
        <f t="shared" si="49"/>
        <v>0</v>
      </c>
      <c r="AC41" s="331"/>
      <c r="AE41" s="63"/>
    </row>
    <row r="42" spans="1:31" s="315" customFormat="1" ht="15" thickBot="1">
      <c r="A42" s="310">
        <v>4223</v>
      </c>
      <c r="B42" s="311"/>
      <c r="C42" s="311"/>
      <c r="D42" s="311" t="s">
        <v>309</v>
      </c>
      <c r="E42" s="312"/>
      <c r="F42" s="313"/>
      <c r="G42" s="269"/>
      <c r="H42" s="340" t="s">
        <v>48</v>
      </c>
      <c r="I42" s="341">
        <f>SUM(I35:I41)</f>
        <v>89226.25</v>
      </c>
      <c r="J42" s="341">
        <f t="shared" ref="J42" si="50">SUM(J35:J41)</f>
        <v>89226.25</v>
      </c>
      <c r="K42" s="341">
        <f t="shared" ref="K42" si="51">SUM(K35:K41)</f>
        <v>89226.25</v>
      </c>
      <c r="L42" s="341">
        <f t="shared" ref="L42" si="52">SUM(L35:L41)</f>
        <v>89226.25</v>
      </c>
      <c r="M42" s="341">
        <f>SUM(M35:M41)</f>
        <v>356905</v>
      </c>
      <c r="N42" s="342">
        <f>SUM(N35:N41)</f>
        <v>1070715</v>
      </c>
      <c r="O42" s="385">
        <f>SUM(O35:O41)</f>
        <v>982943</v>
      </c>
      <c r="P42" s="385">
        <f>SUM(P35:P41)</f>
        <v>327647.66666666669</v>
      </c>
      <c r="Q42" s="385">
        <f>SUM(Q35:Q41)</f>
        <v>-29257.333333333318</v>
      </c>
      <c r="S42" s="310" t="s">
        <v>48</v>
      </c>
      <c r="T42" s="341">
        <f>SUM(T35:T41)</f>
        <v>77447.166666666672</v>
      </c>
      <c r="U42" s="341">
        <f t="shared" ref="U42" si="53">SUM(U35:U41)</f>
        <v>77447.166666666672</v>
      </c>
      <c r="V42" s="341">
        <f t="shared" ref="V42" si="54">SUM(V35:V41)</f>
        <v>77447.166666666672</v>
      </c>
      <c r="W42" s="341">
        <f t="shared" ref="W42" si="55">SUM(W35:W41)</f>
        <v>77447.166666666672</v>
      </c>
      <c r="X42" s="341">
        <f t="shared" ref="X42" si="56">SUM(X35:X41)</f>
        <v>77447.166666666672</v>
      </c>
      <c r="Y42" s="341">
        <f t="shared" ref="Y42" si="57">SUM(Y35:Y41)</f>
        <v>77447.166666666672</v>
      </c>
      <c r="Z42" s="341">
        <f t="shared" ref="Z42" si="58">SUM(Z35:Z41)</f>
        <v>77447.166666666672</v>
      </c>
      <c r="AA42" s="341">
        <f t="shared" ref="AA42" si="59">SUM(AA35:AA41)</f>
        <v>77447.166666666672</v>
      </c>
      <c r="AB42" s="341">
        <f t="shared" ref="AB42" si="60">SUM(AB35:AB41)</f>
        <v>619577.33333333337</v>
      </c>
      <c r="AC42" s="342">
        <f>SUM(AC35:AC41)</f>
        <v>929366</v>
      </c>
      <c r="AE42" s="385">
        <f>AB42+Q42+M42</f>
        <v>947225</v>
      </c>
    </row>
    <row r="43" spans="1:31" ht="15" thickTop="1">
      <c r="A43" s="308"/>
      <c r="B43" s="254"/>
      <c r="C43" s="254"/>
      <c r="D43" s="254"/>
      <c r="E43" s="213"/>
      <c r="F43" s="309"/>
      <c r="G43" s="37"/>
      <c r="H43" s="334"/>
      <c r="I43" s="244"/>
      <c r="J43" s="254"/>
      <c r="K43" s="254"/>
      <c r="L43" s="254"/>
      <c r="M43" s="254"/>
      <c r="N43" s="336"/>
      <c r="S43" s="308"/>
      <c r="T43" s="254"/>
      <c r="U43" s="254"/>
      <c r="V43" s="254"/>
      <c r="W43" s="254"/>
      <c r="X43" s="254"/>
      <c r="Y43" s="254"/>
      <c r="Z43" s="254"/>
      <c r="AA43" s="254"/>
      <c r="AB43" s="254"/>
      <c r="AC43" s="336"/>
      <c r="AE43" s="63"/>
    </row>
    <row r="44" spans="1:31">
      <c r="A44" s="231"/>
      <c r="B44" s="4">
        <v>103519</v>
      </c>
      <c r="C44" s="4" t="s">
        <v>335</v>
      </c>
      <c r="D44" s="4" t="s">
        <v>336</v>
      </c>
      <c r="E44" s="213" t="s">
        <v>6</v>
      </c>
      <c r="F44" s="248" t="s">
        <v>229</v>
      </c>
      <c r="G44" s="37"/>
      <c r="H44" s="326" t="s">
        <v>1161</v>
      </c>
      <c r="I44" s="78">
        <f>$N44*1/12</f>
        <v>111122.16666666667</v>
      </c>
      <c r="J44" s="78">
        <f t="shared" ref="J44:L44" si="61">$N44*1/12</f>
        <v>111122.16666666667</v>
      </c>
      <c r="K44" s="78">
        <f t="shared" si="61"/>
        <v>111122.16666666667</v>
      </c>
      <c r="L44" s="78">
        <f t="shared" si="61"/>
        <v>111122.16666666667</v>
      </c>
      <c r="M44" s="78">
        <f>SUM(I44:L44)</f>
        <v>444488.66666666669</v>
      </c>
      <c r="N44" s="327">
        <v>1333466</v>
      </c>
      <c r="S44" s="231" t="s">
        <v>1161</v>
      </c>
      <c r="T44" s="78">
        <f>$AC44*1/12</f>
        <v>100557.58333333333</v>
      </c>
      <c r="U44" s="78">
        <f t="shared" ref="U44:AA50" si="62">$AC44*1/12</f>
        <v>100557.58333333333</v>
      </c>
      <c r="V44" s="78">
        <f t="shared" si="62"/>
        <v>100557.58333333333</v>
      </c>
      <c r="W44" s="78">
        <f t="shared" si="62"/>
        <v>100557.58333333333</v>
      </c>
      <c r="X44" s="78">
        <f t="shared" si="62"/>
        <v>100557.58333333333</v>
      </c>
      <c r="Y44" s="78">
        <f t="shared" si="62"/>
        <v>100557.58333333333</v>
      </c>
      <c r="Z44" s="78">
        <f t="shared" si="62"/>
        <v>100557.58333333333</v>
      </c>
      <c r="AA44" s="78">
        <f t="shared" si="62"/>
        <v>100557.58333333333</v>
      </c>
      <c r="AB44" s="78">
        <f>SUM(T44:AA44)</f>
        <v>804460.66666666674</v>
      </c>
      <c r="AC44" s="327">
        <v>1206691</v>
      </c>
      <c r="AE44" s="63"/>
    </row>
    <row r="45" spans="1:31">
      <c r="A45" s="231"/>
      <c r="B45" s="4"/>
      <c r="C45" s="4"/>
      <c r="D45" s="4" t="s">
        <v>336</v>
      </c>
      <c r="E45" s="213"/>
      <c r="F45" s="248"/>
      <c r="G45" s="37"/>
      <c r="H45" s="326" t="s">
        <v>1162</v>
      </c>
      <c r="I45" s="78">
        <f t="shared" ref="I45:L50" si="63">$N45*1/12</f>
        <v>0</v>
      </c>
      <c r="J45" s="78">
        <f t="shared" si="63"/>
        <v>0</v>
      </c>
      <c r="K45" s="78">
        <f t="shared" si="63"/>
        <v>0</v>
      </c>
      <c r="L45" s="78">
        <f t="shared" si="63"/>
        <v>0</v>
      </c>
      <c r="M45" s="78">
        <f t="shared" ref="M45:M50" si="64">SUM(I45:L45)</f>
        <v>0</v>
      </c>
      <c r="N45" s="327">
        <v>0</v>
      </c>
      <c r="S45" s="231" t="s">
        <v>1162</v>
      </c>
      <c r="T45" s="78">
        <f t="shared" ref="T45:T50" si="65">$AC45*1/12</f>
        <v>0</v>
      </c>
      <c r="U45" s="78">
        <f t="shared" si="62"/>
        <v>0</v>
      </c>
      <c r="V45" s="78">
        <f t="shared" si="62"/>
        <v>0</v>
      </c>
      <c r="W45" s="78">
        <f t="shared" si="62"/>
        <v>0</v>
      </c>
      <c r="X45" s="78">
        <f t="shared" si="62"/>
        <v>0</v>
      </c>
      <c r="Y45" s="78">
        <f t="shared" si="62"/>
        <v>0</v>
      </c>
      <c r="Z45" s="78">
        <f t="shared" si="62"/>
        <v>0</v>
      </c>
      <c r="AA45" s="78">
        <f t="shared" si="62"/>
        <v>0</v>
      </c>
      <c r="AB45" s="78">
        <f t="shared" ref="AB45:AB50" si="66">SUM(T45:AA45)</f>
        <v>0</v>
      </c>
      <c r="AC45" s="327">
        <v>0</v>
      </c>
      <c r="AE45" s="63"/>
    </row>
    <row r="46" spans="1:31">
      <c r="A46" s="231"/>
      <c r="B46" s="4"/>
      <c r="C46" s="4"/>
      <c r="D46" s="4" t="s">
        <v>336</v>
      </c>
      <c r="E46" s="213"/>
      <c r="F46" s="248"/>
      <c r="G46" s="37"/>
      <c r="H46" s="326" t="s">
        <v>133</v>
      </c>
      <c r="I46" s="78">
        <f t="shared" si="63"/>
        <v>1100</v>
      </c>
      <c r="J46" s="78">
        <f t="shared" si="63"/>
        <v>1100</v>
      </c>
      <c r="K46" s="78">
        <f t="shared" si="63"/>
        <v>1100</v>
      </c>
      <c r="L46" s="78">
        <f t="shared" si="63"/>
        <v>1100</v>
      </c>
      <c r="M46" s="78">
        <f t="shared" si="64"/>
        <v>4400</v>
      </c>
      <c r="N46" s="327">
        <v>13200</v>
      </c>
      <c r="S46" s="231" t="s">
        <v>133</v>
      </c>
      <c r="T46" s="78">
        <f t="shared" si="65"/>
        <v>1500</v>
      </c>
      <c r="U46" s="78">
        <f t="shared" si="62"/>
        <v>1500</v>
      </c>
      <c r="V46" s="78">
        <f t="shared" si="62"/>
        <v>1500</v>
      </c>
      <c r="W46" s="78">
        <f t="shared" si="62"/>
        <v>1500</v>
      </c>
      <c r="X46" s="78">
        <f t="shared" si="62"/>
        <v>1500</v>
      </c>
      <c r="Y46" s="78">
        <f t="shared" si="62"/>
        <v>1500</v>
      </c>
      <c r="Z46" s="78">
        <f t="shared" si="62"/>
        <v>1500</v>
      </c>
      <c r="AA46" s="78">
        <f t="shared" si="62"/>
        <v>1500</v>
      </c>
      <c r="AB46" s="78">
        <f t="shared" si="66"/>
        <v>12000</v>
      </c>
      <c r="AC46" s="327">
        <v>18000</v>
      </c>
      <c r="AE46" s="63"/>
    </row>
    <row r="47" spans="1:31">
      <c r="A47" s="231"/>
      <c r="B47" s="4"/>
      <c r="C47" s="4"/>
      <c r="D47" s="4" t="s">
        <v>336</v>
      </c>
      <c r="E47" s="213"/>
      <c r="F47" s="248"/>
      <c r="G47" s="37"/>
      <c r="H47" s="326" t="s">
        <v>1159</v>
      </c>
      <c r="I47" s="78">
        <f t="shared" si="63"/>
        <v>5550</v>
      </c>
      <c r="J47" s="78">
        <f t="shared" si="63"/>
        <v>5550</v>
      </c>
      <c r="K47" s="78">
        <f t="shared" si="63"/>
        <v>5550</v>
      </c>
      <c r="L47" s="78">
        <f t="shared" si="63"/>
        <v>5550</v>
      </c>
      <c r="M47" s="78">
        <f t="shared" si="64"/>
        <v>22200</v>
      </c>
      <c r="N47" s="327">
        <v>66600</v>
      </c>
      <c r="S47" s="231" t="s">
        <v>1169</v>
      </c>
      <c r="T47" s="78">
        <f t="shared" si="65"/>
        <v>0</v>
      </c>
      <c r="U47" s="78">
        <f t="shared" si="62"/>
        <v>0</v>
      </c>
      <c r="V47" s="78">
        <f t="shared" si="62"/>
        <v>0</v>
      </c>
      <c r="W47" s="78">
        <f t="shared" si="62"/>
        <v>0</v>
      </c>
      <c r="X47" s="78">
        <f t="shared" si="62"/>
        <v>0</v>
      </c>
      <c r="Y47" s="78">
        <f t="shared" si="62"/>
        <v>0</v>
      </c>
      <c r="Z47" s="78">
        <f t="shared" si="62"/>
        <v>0</v>
      </c>
      <c r="AA47" s="78">
        <f t="shared" si="62"/>
        <v>0</v>
      </c>
      <c r="AB47" s="78">
        <f t="shared" si="66"/>
        <v>0</v>
      </c>
      <c r="AC47" s="327">
        <v>0</v>
      </c>
      <c r="AE47" s="63"/>
    </row>
    <row r="48" spans="1:31">
      <c r="A48" s="231"/>
      <c r="B48" s="4"/>
      <c r="C48" s="4"/>
      <c r="D48" s="4" t="s">
        <v>336</v>
      </c>
      <c r="E48" s="213"/>
      <c r="F48" s="248"/>
      <c r="G48" s="37"/>
      <c r="H48" s="326" t="s">
        <v>1163</v>
      </c>
      <c r="I48" s="78">
        <f t="shared" si="63"/>
        <v>0</v>
      </c>
      <c r="J48" s="78">
        <f t="shared" si="63"/>
        <v>0</v>
      </c>
      <c r="K48" s="78">
        <f t="shared" si="63"/>
        <v>0</v>
      </c>
      <c r="L48" s="78">
        <f t="shared" si="63"/>
        <v>0</v>
      </c>
      <c r="M48" s="78">
        <f t="shared" si="64"/>
        <v>0</v>
      </c>
      <c r="N48" s="327">
        <v>0</v>
      </c>
      <c r="S48" s="231" t="s">
        <v>1159</v>
      </c>
      <c r="T48" s="78">
        <f t="shared" si="65"/>
        <v>5500</v>
      </c>
      <c r="U48" s="78">
        <f t="shared" si="62"/>
        <v>5500</v>
      </c>
      <c r="V48" s="78">
        <f t="shared" si="62"/>
        <v>5500</v>
      </c>
      <c r="W48" s="78">
        <f t="shared" si="62"/>
        <v>5500</v>
      </c>
      <c r="X48" s="78">
        <f t="shared" si="62"/>
        <v>5500</v>
      </c>
      <c r="Y48" s="78">
        <f t="shared" si="62"/>
        <v>5500</v>
      </c>
      <c r="Z48" s="78">
        <f t="shared" si="62"/>
        <v>5500</v>
      </c>
      <c r="AA48" s="78">
        <f t="shared" si="62"/>
        <v>5500</v>
      </c>
      <c r="AB48" s="78">
        <f t="shared" si="66"/>
        <v>44000</v>
      </c>
      <c r="AC48" s="327">
        <v>66000</v>
      </c>
      <c r="AE48" s="63"/>
    </row>
    <row r="49" spans="1:31">
      <c r="A49" s="231"/>
      <c r="B49" s="4"/>
      <c r="C49" s="4"/>
      <c r="D49" s="4" t="s">
        <v>336</v>
      </c>
      <c r="E49" s="213"/>
      <c r="F49" s="248"/>
      <c r="G49" s="37"/>
      <c r="H49" s="326" t="s">
        <v>1164</v>
      </c>
      <c r="I49" s="78">
        <f t="shared" si="63"/>
        <v>4322.25</v>
      </c>
      <c r="J49" s="78">
        <f t="shared" si="63"/>
        <v>4322.25</v>
      </c>
      <c r="K49" s="78">
        <f t="shared" si="63"/>
        <v>4322.25</v>
      </c>
      <c r="L49" s="78">
        <f t="shared" si="63"/>
        <v>4322.25</v>
      </c>
      <c r="M49" s="78">
        <f t="shared" si="64"/>
        <v>17289</v>
      </c>
      <c r="N49" s="327">
        <v>51867</v>
      </c>
      <c r="S49" s="231" t="s">
        <v>1167</v>
      </c>
      <c r="T49" s="78">
        <f t="shared" si="65"/>
        <v>0</v>
      </c>
      <c r="U49" s="78">
        <f t="shared" si="62"/>
        <v>0</v>
      </c>
      <c r="V49" s="78">
        <f t="shared" si="62"/>
        <v>0</v>
      </c>
      <c r="W49" s="78">
        <f t="shared" si="62"/>
        <v>0</v>
      </c>
      <c r="X49" s="78">
        <f t="shared" si="62"/>
        <v>0</v>
      </c>
      <c r="Y49" s="78">
        <f t="shared" si="62"/>
        <v>0</v>
      </c>
      <c r="Z49" s="78">
        <f t="shared" si="62"/>
        <v>0</v>
      </c>
      <c r="AA49" s="78">
        <f t="shared" si="62"/>
        <v>0</v>
      </c>
      <c r="AB49" s="78">
        <f t="shared" si="66"/>
        <v>0</v>
      </c>
      <c r="AC49" s="327"/>
      <c r="AE49" s="63"/>
    </row>
    <row r="50" spans="1:31">
      <c r="A50" s="316"/>
      <c r="B50" s="8"/>
      <c r="C50" s="8"/>
      <c r="D50" s="8" t="s">
        <v>336</v>
      </c>
      <c r="E50" s="318"/>
      <c r="F50" s="319"/>
      <c r="G50" s="37"/>
      <c r="H50" s="330" t="s">
        <v>1165</v>
      </c>
      <c r="I50" s="77">
        <f t="shared" si="63"/>
        <v>2352</v>
      </c>
      <c r="J50" s="77">
        <f t="shared" si="63"/>
        <v>2352</v>
      </c>
      <c r="K50" s="77">
        <f t="shared" si="63"/>
        <v>2352</v>
      </c>
      <c r="L50" s="77">
        <f t="shared" si="63"/>
        <v>2352</v>
      </c>
      <c r="M50" s="77">
        <f t="shared" si="64"/>
        <v>9408</v>
      </c>
      <c r="N50" s="331">
        <v>28224</v>
      </c>
      <c r="S50" s="316" t="s">
        <v>1164</v>
      </c>
      <c r="T50" s="77">
        <f t="shared" si="65"/>
        <v>4186.666666666667</v>
      </c>
      <c r="U50" s="77">
        <f t="shared" si="62"/>
        <v>4186.666666666667</v>
      </c>
      <c r="V50" s="77">
        <f t="shared" si="62"/>
        <v>4186.666666666667</v>
      </c>
      <c r="W50" s="77">
        <f t="shared" si="62"/>
        <v>4186.666666666667</v>
      </c>
      <c r="X50" s="77">
        <f t="shared" si="62"/>
        <v>4186.666666666667</v>
      </c>
      <c r="Y50" s="77">
        <f t="shared" si="62"/>
        <v>4186.666666666667</v>
      </c>
      <c r="Z50" s="77">
        <f t="shared" si="62"/>
        <v>4186.666666666667</v>
      </c>
      <c r="AA50" s="77">
        <f t="shared" si="62"/>
        <v>4186.666666666667</v>
      </c>
      <c r="AB50" s="77">
        <f t="shared" si="66"/>
        <v>33493.333333333336</v>
      </c>
      <c r="AC50" s="331">
        <v>50240</v>
      </c>
      <c r="AE50" s="63"/>
    </row>
    <row r="51" spans="1:31" s="315" customFormat="1" ht="15" thickBot="1">
      <c r="A51" s="310">
        <v>4245</v>
      </c>
      <c r="B51" s="311"/>
      <c r="C51" s="311"/>
      <c r="D51" s="311" t="s">
        <v>336</v>
      </c>
      <c r="E51" s="312"/>
      <c r="F51" s="313"/>
      <c r="G51" s="269"/>
      <c r="H51" s="340" t="s">
        <v>48</v>
      </c>
      <c r="I51" s="341">
        <f>SUM(I44:I50)</f>
        <v>124446.41666666667</v>
      </c>
      <c r="J51" s="341">
        <f t="shared" ref="J51" si="67">SUM(J44:J50)</f>
        <v>124446.41666666667</v>
      </c>
      <c r="K51" s="341">
        <f t="shared" ref="K51" si="68">SUM(K44:K50)</f>
        <v>124446.41666666667</v>
      </c>
      <c r="L51" s="341">
        <f t="shared" ref="L51" si="69">SUM(L44:L50)</f>
        <v>124446.41666666667</v>
      </c>
      <c r="M51" s="341">
        <f>SUM(M44:M50)</f>
        <v>497785.66666666669</v>
      </c>
      <c r="N51" s="342">
        <f>SUM(N44:N50)</f>
        <v>1493357</v>
      </c>
      <c r="S51" s="310" t="s">
        <v>48</v>
      </c>
      <c r="T51" s="341">
        <f>SUM(T44:T50)</f>
        <v>111744.25</v>
      </c>
      <c r="U51" s="341">
        <f t="shared" ref="U51" si="70">SUM(U44:U50)</f>
        <v>111744.25</v>
      </c>
      <c r="V51" s="341">
        <f t="shared" ref="V51" si="71">SUM(V44:V50)</f>
        <v>111744.25</v>
      </c>
      <c r="W51" s="341">
        <f t="shared" ref="W51" si="72">SUM(W44:W50)</f>
        <v>111744.25</v>
      </c>
      <c r="X51" s="341">
        <f t="shared" ref="X51" si="73">SUM(X44:X50)</f>
        <v>111744.25</v>
      </c>
      <c r="Y51" s="341">
        <f t="shared" ref="Y51" si="74">SUM(Y44:Y50)</f>
        <v>111744.25</v>
      </c>
      <c r="Z51" s="341">
        <f t="shared" ref="Z51" si="75">SUM(Z44:Z50)</f>
        <v>111744.25</v>
      </c>
      <c r="AA51" s="341">
        <f t="shared" ref="AA51" si="76">SUM(AA44:AA50)</f>
        <v>111744.25</v>
      </c>
      <c r="AB51" s="341">
        <f t="shared" ref="AB51" si="77">SUM(AB44:AB50)</f>
        <v>893954.00000000012</v>
      </c>
      <c r="AC51" s="342">
        <f>SUM(AC44:AC50)</f>
        <v>1340931</v>
      </c>
      <c r="AE51" s="385">
        <f>AB51+Q51+M51</f>
        <v>1391739.6666666667</v>
      </c>
    </row>
    <row r="52" spans="1:31" ht="15" thickTop="1">
      <c r="A52" s="308"/>
      <c r="B52" s="254"/>
      <c r="C52" s="254"/>
      <c r="D52" s="254"/>
      <c r="E52" s="213"/>
      <c r="F52" s="309"/>
      <c r="G52" s="37"/>
      <c r="H52" s="334"/>
      <c r="I52" s="244"/>
      <c r="J52" s="254"/>
      <c r="K52" s="254"/>
      <c r="L52" s="254"/>
      <c r="M52" s="254"/>
      <c r="N52" s="336"/>
      <c r="S52" s="308"/>
      <c r="T52" s="254"/>
      <c r="U52" s="254"/>
      <c r="V52" s="254"/>
      <c r="W52" s="254"/>
      <c r="X52" s="254"/>
      <c r="Y52" s="254"/>
      <c r="Z52" s="254"/>
      <c r="AA52" s="254"/>
      <c r="AB52" s="254"/>
      <c r="AC52" s="336"/>
      <c r="AE52" s="63"/>
    </row>
    <row r="53" spans="1:31">
      <c r="A53" s="231"/>
      <c r="B53" s="4">
        <v>103531</v>
      </c>
      <c r="C53" s="4" t="s">
        <v>368</v>
      </c>
      <c r="D53" s="4" t="s">
        <v>369</v>
      </c>
      <c r="E53" s="213" t="s">
        <v>6</v>
      </c>
      <c r="F53" s="248" t="s">
        <v>229</v>
      </c>
      <c r="G53" s="37"/>
      <c r="H53" s="326" t="s">
        <v>1161</v>
      </c>
      <c r="I53" s="78">
        <f>$N53*1/12</f>
        <v>90265.083333333328</v>
      </c>
      <c r="J53" s="78">
        <f t="shared" ref="J53:L53" si="78">$N53*1/12</f>
        <v>90265.083333333328</v>
      </c>
      <c r="K53" s="78">
        <f t="shared" si="78"/>
        <v>90265.083333333328</v>
      </c>
      <c r="L53" s="78">
        <f t="shared" si="78"/>
        <v>90265.083333333328</v>
      </c>
      <c r="M53" s="78">
        <f>SUM(I53:L53)</f>
        <v>361060.33333333331</v>
      </c>
      <c r="N53" s="327">
        <v>1083181</v>
      </c>
      <c r="S53" s="231" t="s">
        <v>1161</v>
      </c>
      <c r="T53" s="78">
        <f>$AC53*1/12</f>
        <v>87159.916666666672</v>
      </c>
      <c r="U53" s="78">
        <f t="shared" ref="U53:AA59" si="79">$AC53*1/12</f>
        <v>87159.916666666672</v>
      </c>
      <c r="V53" s="78">
        <f t="shared" si="79"/>
        <v>87159.916666666672</v>
      </c>
      <c r="W53" s="78">
        <f t="shared" si="79"/>
        <v>87159.916666666672</v>
      </c>
      <c r="X53" s="78">
        <f t="shared" si="79"/>
        <v>87159.916666666672</v>
      </c>
      <c r="Y53" s="78">
        <f t="shared" si="79"/>
        <v>87159.916666666672</v>
      </c>
      <c r="Z53" s="78">
        <f t="shared" si="79"/>
        <v>87159.916666666672</v>
      </c>
      <c r="AA53" s="78">
        <f t="shared" si="79"/>
        <v>87159.916666666672</v>
      </c>
      <c r="AB53" s="78">
        <f>SUM(T53:AA53)</f>
        <v>697279.33333333337</v>
      </c>
      <c r="AC53" s="327">
        <v>1045919</v>
      </c>
      <c r="AE53" s="63"/>
    </row>
    <row r="54" spans="1:31">
      <c r="A54" s="231"/>
      <c r="B54" s="4"/>
      <c r="C54" s="4"/>
      <c r="D54" s="4" t="s">
        <v>369</v>
      </c>
      <c r="E54" s="213"/>
      <c r="F54" s="248"/>
      <c r="G54" s="37"/>
      <c r="H54" s="326" t="s">
        <v>1162</v>
      </c>
      <c r="I54" s="78">
        <f t="shared" ref="I54:L59" si="80">$N54*1/12</f>
        <v>0</v>
      </c>
      <c r="J54" s="78">
        <f t="shared" si="80"/>
        <v>0</v>
      </c>
      <c r="K54" s="78">
        <f t="shared" si="80"/>
        <v>0</v>
      </c>
      <c r="L54" s="78">
        <f t="shared" si="80"/>
        <v>0</v>
      </c>
      <c r="M54" s="78">
        <f t="shared" ref="M54:M59" si="81">SUM(I54:L54)</f>
        <v>0</v>
      </c>
      <c r="N54" s="327">
        <v>0</v>
      </c>
      <c r="S54" s="231" t="s">
        <v>1162</v>
      </c>
      <c r="T54" s="78">
        <f t="shared" ref="T54:T59" si="82">$AC54*1/12</f>
        <v>0</v>
      </c>
      <c r="U54" s="78">
        <f t="shared" si="79"/>
        <v>0</v>
      </c>
      <c r="V54" s="78">
        <f t="shared" si="79"/>
        <v>0</v>
      </c>
      <c r="W54" s="78">
        <f t="shared" si="79"/>
        <v>0</v>
      </c>
      <c r="X54" s="78">
        <f t="shared" si="79"/>
        <v>0</v>
      </c>
      <c r="Y54" s="78">
        <f t="shared" si="79"/>
        <v>0</v>
      </c>
      <c r="Z54" s="78">
        <f t="shared" si="79"/>
        <v>0</v>
      </c>
      <c r="AA54" s="78">
        <f t="shared" si="79"/>
        <v>0</v>
      </c>
      <c r="AB54" s="78">
        <f t="shared" ref="AB54:AB59" si="83">SUM(T54:AA54)</f>
        <v>0</v>
      </c>
      <c r="AC54" s="327">
        <v>0</v>
      </c>
      <c r="AE54" s="63"/>
    </row>
    <row r="55" spans="1:31">
      <c r="A55" s="231"/>
      <c r="B55" s="4"/>
      <c r="C55" s="4"/>
      <c r="D55" s="4" t="s">
        <v>369</v>
      </c>
      <c r="E55" s="213"/>
      <c r="F55" s="248"/>
      <c r="G55" s="37"/>
      <c r="H55" s="326" t="s">
        <v>133</v>
      </c>
      <c r="I55" s="78">
        <f t="shared" si="80"/>
        <v>750</v>
      </c>
      <c r="J55" s="78">
        <f t="shared" si="80"/>
        <v>750</v>
      </c>
      <c r="K55" s="78">
        <f t="shared" si="80"/>
        <v>750</v>
      </c>
      <c r="L55" s="78">
        <f t="shared" si="80"/>
        <v>750</v>
      </c>
      <c r="M55" s="78">
        <f t="shared" si="81"/>
        <v>3000</v>
      </c>
      <c r="N55" s="327">
        <v>9000</v>
      </c>
      <c r="S55" s="231" t="s">
        <v>133</v>
      </c>
      <c r="T55" s="78">
        <f t="shared" si="82"/>
        <v>1200</v>
      </c>
      <c r="U55" s="78">
        <f t="shared" si="79"/>
        <v>1200</v>
      </c>
      <c r="V55" s="78">
        <f t="shared" si="79"/>
        <v>1200</v>
      </c>
      <c r="W55" s="78">
        <f t="shared" si="79"/>
        <v>1200</v>
      </c>
      <c r="X55" s="78">
        <f t="shared" si="79"/>
        <v>1200</v>
      </c>
      <c r="Y55" s="78">
        <f t="shared" si="79"/>
        <v>1200</v>
      </c>
      <c r="Z55" s="78">
        <f t="shared" si="79"/>
        <v>1200</v>
      </c>
      <c r="AA55" s="78">
        <f t="shared" si="79"/>
        <v>1200</v>
      </c>
      <c r="AB55" s="78">
        <f t="shared" si="83"/>
        <v>9600</v>
      </c>
      <c r="AC55" s="327">
        <v>14400</v>
      </c>
      <c r="AE55" s="63"/>
    </row>
    <row r="56" spans="1:31">
      <c r="A56" s="231"/>
      <c r="B56" s="4"/>
      <c r="C56" s="4"/>
      <c r="D56" s="4" t="s">
        <v>369</v>
      </c>
      <c r="E56" s="213"/>
      <c r="F56" s="248"/>
      <c r="G56" s="37"/>
      <c r="H56" s="326" t="s">
        <v>1159</v>
      </c>
      <c r="I56" s="78">
        <f t="shared" si="80"/>
        <v>1750</v>
      </c>
      <c r="J56" s="78">
        <f t="shared" si="80"/>
        <v>1750</v>
      </c>
      <c r="K56" s="78">
        <f t="shared" si="80"/>
        <v>1750</v>
      </c>
      <c r="L56" s="78">
        <f t="shared" si="80"/>
        <v>1750</v>
      </c>
      <c r="M56" s="78">
        <f t="shared" si="81"/>
        <v>7000</v>
      </c>
      <c r="N56" s="327">
        <v>21000</v>
      </c>
      <c r="S56" s="231" t="s">
        <v>1169</v>
      </c>
      <c r="T56" s="78">
        <f t="shared" si="82"/>
        <v>825</v>
      </c>
      <c r="U56" s="78">
        <f t="shared" si="79"/>
        <v>825</v>
      </c>
      <c r="V56" s="78">
        <f t="shared" si="79"/>
        <v>825</v>
      </c>
      <c r="W56" s="78">
        <f t="shared" si="79"/>
        <v>825</v>
      </c>
      <c r="X56" s="78">
        <f t="shared" si="79"/>
        <v>825</v>
      </c>
      <c r="Y56" s="78">
        <f t="shared" si="79"/>
        <v>825</v>
      </c>
      <c r="Z56" s="78">
        <f t="shared" si="79"/>
        <v>825</v>
      </c>
      <c r="AA56" s="78">
        <f t="shared" si="79"/>
        <v>825</v>
      </c>
      <c r="AB56" s="78">
        <f t="shared" si="83"/>
        <v>6600</v>
      </c>
      <c r="AC56" s="327">
        <v>9900</v>
      </c>
      <c r="AE56" s="63"/>
    </row>
    <row r="57" spans="1:31">
      <c r="A57" s="231"/>
      <c r="B57" s="4"/>
      <c r="C57" s="4"/>
      <c r="D57" s="4" t="s">
        <v>369</v>
      </c>
      <c r="E57" s="213"/>
      <c r="F57" s="248"/>
      <c r="G57" s="37"/>
      <c r="H57" s="326" t="s">
        <v>1163</v>
      </c>
      <c r="I57" s="78">
        <f t="shared" si="80"/>
        <v>0</v>
      </c>
      <c r="J57" s="78">
        <f t="shared" si="80"/>
        <v>0</v>
      </c>
      <c r="K57" s="78">
        <f t="shared" si="80"/>
        <v>0</v>
      </c>
      <c r="L57" s="78">
        <f t="shared" si="80"/>
        <v>0</v>
      </c>
      <c r="M57" s="78">
        <f t="shared" si="81"/>
        <v>0</v>
      </c>
      <c r="N57" s="327">
        <v>0</v>
      </c>
      <c r="S57" s="231" t="s">
        <v>1159</v>
      </c>
      <c r="T57" s="78">
        <f t="shared" si="82"/>
        <v>2500</v>
      </c>
      <c r="U57" s="78">
        <f t="shared" si="79"/>
        <v>2500</v>
      </c>
      <c r="V57" s="78">
        <f t="shared" si="79"/>
        <v>2500</v>
      </c>
      <c r="W57" s="78">
        <f t="shared" si="79"/>
        <v>2500</v>
      </c>
      <c r="X57" s="78">
        <f t="shared" si="79"/>
        <v>2500</v>
      </c>
      <c r="Y57" s="78">
        <f t="shared" si="79"/>
        <v>2500</v>
      </c>
      <c r="Z57" s="78">
        <f t="shared" si="79"/>
        <v>2500</v>
      </c>
      <c r="AA57" s="78">
        <f t="shared" si="79"/>
        <v>2500</v>
      </c>
      <c r="AB57" s="78">
        <f t="shared" si="83"/>
        <v>20000</v>
      </c>
      <c r="AC57" s="327">
        <v>30000</v>
      </c>
      <c r="AE57" s="63"/>
    </row>
    <row r="58" spans="1:31">
      <c r="A58" s="231"/>
      <c r="B58" s="4"/>
      <c r="C58" s="4"/>
      <c r="D58" s="4" t="s">
        <v>369</v>
      </c>
      <c r="E58" s="213"/>
      <c r="F58" s="248"/>
      <c r="G58" s="37"/>
      <c r="H58" s="326" t="s">
        <v>1164</v>
      </c>
      <c r="I58" s="78">
        <f t="shared" si="80"/>
        <v>4135</v>
      </c>
      <c r="J58" s="78">
        <f t="shared" si="80"/>
        <v>4135</v>
      </c>
      <c r="K58" s="78">
        <f t="shared" si="80"/>
        <v>4135</v>
      </c>
      <c r="L58" s="78">
        <f t="shared" si="80"/>
        <v>4135</v>
      </c>
      <c r="M58" s="78">
        <f t="shared" si="81"/>
        <v>16540</v>
      </c>
      <c r="N58" s="327">
        <v>49620</v>
      </c>
      <c r="S58" s="231" t="s">
        <v>1167</v>
      </c>
      <c r="T58" s="78">
        <f t="shared" si="82"/>
        <v>0</v>
      </c>
      <c r="U58" s="78">
        <f t="shared" si="79"/>
        <v>0</v>
      </c>
      <c r="V58" s="78">
        <f t="shared" si="79"/>
        <v>0</v>
      </c>
      <c r="W58" s="78">
        <f t="shared" si="79"/>
        <v>0</v>
      </c>
      <c r="X58" s="78">
        <f t="shared" si="79"/>
        <v>0</v>
      </c>
      <c r="Y58" s="78">
        <f t="shared" si="79"/>
        <v>0</v>
      </c>
      <c r="Z58" s="78">
        <f t="shared" si="79"/>
        <v>0</v>
      </c>
      <c r="AA58" s="78">
        <f t="shared" si="79"/>
        <v>0</v>
      </c>
      <c r="AB58" s="78">
        <f t="shared" si="83"/>
        <v>0</v>
      </c>
      <c r="AC58" s="327"/>
      <c r="AE58" s="63"/>
    </row>
    <row r="59" spans="1:31">
      <c r="A59" s="316"/>
      <c r="B59" s="8"/>
      <c r="C59" s="8"/>
      <c r="D59" s="8" t="s">
        <v>369</v>
      </c>
      <c r="E59" s="318"/>
      <c r="F59" s="319"/>
      <c r="G59" s="37"/>
      <c r="H59" s="330" t="s">
        <v>1165</v>
      </c>
      <c r="I59" s="77">
        <f t="shared" si="80"/>
        <v>1269.6666666666667</v>
      </c>
      <c r="J59" s="77">
        <f t="shared" si="80"/>
        <v>1269.6666666666667</v>
      </c>
      <c r="K59" s="77">
        <f t="shared" si="80"/>
        <v>1269.6666666666667</v>
      </c>
      <c r="L59" s="77">
        <f t="shared" si="80"/>
        <v>1269.6666666666667</v>
      </c>
      <c r="M59" s="77">
        <f t="shared" si="81"/>
        <v>5078.666666666667</v>
      </c>
      <c r="N59" s="331">
        <v>15236</v>
      </c>
      <c r="S59" s="316" t="s">
        <v>1164</v>
      </c>
      <c r="T59" s="77">
        <f t="shared" si="82"/>
        <v>3809</v>
      </c>
      <c r="U59" s="77">
        <f t="shared" si="79"/>
        <v>3809</v>
      </c>
      <c r="V59" s="77">
        <f t="shared" si="79"/>
        <v>3809</v>
      </c>
      <c r="W59" s="77">
        <f t="shared" si="79"/>
        <v>3809</v>
      </c>
      <c r="X59" s="77">
        <f t="shared" si="79"/>
        <v>3809</v>
      </c>
      <c r="Y59" s="77">
        <f t="shared" si="79"/>
        <v>3809</v>
      </c>
      <c r="Z59" s="77">
        <f t="shared" si="79"/>
        <v>3809</v>
      </c>
      <c r="AA59" s="77">
        <f t="shared" si="79"/>
        <v>3809</v>
      </c>
      <c r="AB59" s="77">
        <f t="shared" si="83"/>
        <v>30472</v>
      </c>
      <c r="AC59" s="331">
        <v>45708</v>
      </c>
      <c r="AE59" s="63"/>
    </row>
    <row r="60" spans="1:31" s="315" customFormat="1" ht="15" thickBot="1">
      <c r="A60" s="310">
        <v>4606</v>
      </c>
      <c r="B60" s="311"/>
      <c r="C60" s="311"/>
      <c r="D60" s="311" t="s">
        <v>369</v>
      </c>
      <c r="E60" s="312"/>
      <c r="F60" s="313"/>
      <c r="G60" s="269"/>
      <c r="H60" s="340" t="s">
        <v>48</v>
      </c>
      <c r="I60" s="341">
        <f>SUM(I53:I59)</f>
        <v>98169.75</v>
      </c>
      <c r="J60" s="341">
        <f t="shared" ref="J60" si="84">SUM(J53:J59)</f>
        <v>98169.75</v>
      </c>
      <c r="K60" s="341">
        <f t="shared" ref="K60" si="85">SUM(K53:K59)</f>
        <v>98169.75</v>
      </c>
      <c r="L60" s="341">
        <f t="shared" ref="L60" si="86">SUM(L53:L59)</f>
        <v>98169.75</v>
      </c>
      <c r="M60" s="341">
        <f>SUM(M53:M59)</f>
        <v>392679</v>
      </c>
      <c r="N60" s="342">
        <f>SUM(N53:N59)</f>
        <v>1178037</v>
      </c>
      <c r="S60" s="310" t="s">
        <v>48</v>
      </c>
      <c r="T60" s="341">
        <f>SUM(T53:T59)</f>
        <v>95493.916666666672</v>
      </c>
      <c r="U60" s="341">
        <f t="shared" ref="U60" si="87">SUM(U53:U59)</f>
        <v>95493.916666666672</v>
      </c>
      <c r="V60" s="341">
        <f t="shared" ref="V60" si="88">SUM(V53:V59)</f>
        <v>95493.916666666672</v>
      </c>
      <c r="W60" s="341">
        <f t="shared" ref="W60" si="89">SUM(W53:W59)</f>
        <v>95493.916666666672</v>
      </c>
      <c r="X60" s="341">
        <f t="shared" ref="X60" si="90">SUM(X53:X59)</f>
        <v>95493.916666666672</v>
      </c>
      <c r="Y60" s="341">
        <f t="shared" ref="Y60" si="91">SUM(Y53:Y59)</f>
        <v>95493.916666666672</v>
      </c>
      <c r="Z60" s="341">
        <f t="shared" ref="Z60" si="92">SUM(Z53:Z59)</f>
        <v>95493.916666666672</v>
      </c>
      <c r="AA60" s="341">
        <f t="shared" ref="AA60" si="93">SUM(AA53:AA59)</f>
        <v>95493.916666666672</v>
      </c>
      <c r="AB60" s="341">
        <f t="shared" ref="AB60" si="94">SUM(AB53:AB59)</f>
        <v>763951.33333333337</v>
      </c>
      <c r="AC60" s="342">
        <f>SUM(AC53:AC59)</f>
        <v>1145927</v>
      </c>
      <c r="AE60" s="385">
        <f>AB60+Q60+M60</f>
        <v>1156630.3333333335</v>
      </c>
    </row>
    <row r="61" spans="1:31" ht="15" thickTop="1">
      <c r="A61" s="308"/>
      <c r="B61" s="254"/>
      <c r="C61" s="254"/>
      <c r="D61" s="254"/>
      <c r="E61" s="213"/>
      <c r="F61" s="309"/>
      <c r="G61" s="37"/>
      <c r="H61" s="334"/>
      <c r="I61" s="244"/>
      <c r="J61" s="254"/>
      <c r="K61" s="254"/>
      <c r="L61" s="254"/>
      <c r="M61" s="254"/>
      <c r="N61" s="336"/>
      <c r="S61" s="308"/>
      <c r="T61" s="254"/>
      <c r="U61" s="254"/>
      <c r="V61" s="254"/>
      <c r="W61" s="254"/>
      <c r="X61" s="254"/>
      <c r="Y61" s="254"/>
      <c r="Z61" s="254"/>
      <c r="AA61" s="254"/>
      <c r="AB61" s="254"/>
      <c r="AC61" s="336"/>
      <c r="AE61" s="63"/>
    </row>
    <row r="62" spans="1:31">
      <c r="A62" s="231"/>
      <c r="B62" s="4">
        <v>103514</v>
      </c>
      <c r="C62" s="4" t="s">
        <v>374</v>
      </c>
      <c r="D62" s="4" t="s">
        <v>375</v>
      </c>
      <c r="E62" s="213" t="s">
        <v>6</v>
      </c>
      <c r="F62" s="248" t="s">
        <v>229</v>
      </c>
      <c r="G62" s="37"/>
      <c r="H62" s="326" t="s">
        <v>1161</v>
      </c>
      <c r="I62" s="78">
        <f>$N62*1/12</f>
        <v>135176.91666666666</v>
      </c>
      <c r="J62" s="78">
        <f t="shared" ref="J62:L62" si="95">$N62*1/12</f>
        <v>135176.91666666666</v>
      </c>
      <c r="K62" s="78">
        <f t="shared" si="95"/>
        <v>135176.91666666666</v>
      </c>
      <c r="L62" s="78">
        <f t="shared" si="95"/>
        <v>135176.91666666666</v>
      </c>
      <c r="M62" s="78">
        <f>SUM(I62:L62)</f>
        <v>540707.66666666663</v>
      </c>
      <c r="N62" s="328">
        <v>1622123</v>
      </c>
      <c r="S62" s="326" t="s">
        <v>1161</v>
      </c>
      <c r="T62" s="78">
        <f>$AC62*1/12</f>
        <v>140773.83333333334</v>
      </c>
      <c r="U62" s="78">
        <f t="shared" ref="U62:AA68" si="96">$AC62*1/12</f>
        <v>140773.83333333334</v>
      </c>
      <c r="V62" s="78">
        <f t="shared" si="96"/>
        <v>140773.83333333334</v>
      </c>
      <c r="W62" s="78">
        <f t="shared" si="96"/>
        <v>140773.83333333334</v>
      </c>
      <c r="X62" s="78">
        <f t="shared" si="96"/>
        <v>140773.83333333334</v>
      </c>
      <c r="Y62" s="78">
        <f t="shared" si="96"/>
        <v>140773.83333333334</v>
      </c>
      <c r="Z62" s="78">
        <f t="shared" si="96"/>
        <v>140773.83333333334</v>
      </c>
      <c r="AA62" s="78">
        <f t="shared" si="96"/>
        <v>140773.83333333334</v>
      </c>
      <c r="AB62" s="78">
        <f>SUM(T62:AA62)</f>
        <v>1126190.6666666667</v>
      </c>
      <c r="AC62" s="327">
        <v>1689286</v>
      </c>
      <c r="AE62" s="63"/>
    </row>
    <row r="63" spans="1:31">
      <c r="A63" s="231"/>
      <c r="B63" s="4"/>
      <c r="C63" s="4"/>
      <c r="D63" s="4" t="s">
        <v>375</v>
      </c>
      <c r="E63" s="213"/>
      <c r="F63" s="248"/>
      <c r="G63" s="37"/>
      <c r="H63" s="326" t="s">
        <v>1162</v>
      </c>
      <c r="I63" s="78">
        <f t="shared" ref="I63:L68" si="97">$N63*1/12</f>
        <v>0</v>
      </c>
      <c r="J63" s="78">
        <f t="shared" si="97"/>
        <v>0</v>
      </c>
      <c r="K63" s="78">
        <f t="shared" si="97"/>
        <v>0</v>
      </c>
      <c r="L63" s="78">
        <f t="shared" si="97"/>
        <v>0</v>
      </c>
      <c r="M63" s="78">
        <f t="shared" ref="M63:M68" si="98">SUM(I63:L63)</f>
        <v>0</v>
      </c>
      <c r="N63" s="328">
        <v>0</v>
      </c>
      <c r="S63" s="326" t="s">
        <v>1162</v>
      </c>
      <c r="T63" s="78">
        <f t="shared" ref="T63:T68" si="99">$AC63*1/12</f>
        <v>0</v>
      </c>
      <c r="U63" s="78">
        <f t="shared" si="96"/>
        <v>0</v>
      </c>
      <c r="V63" s="78">
        <f t="shared" si="96"/>
        <v>0</v>
      </c>
      <c r="W63" s="78">
        <f t="shared" si="96"/>
        <v>0</v>
      </c>
      <c r="X63" s="78">
        <f t="shared" si="96"/>
        <v>0</v>
      </c>
      <c r="Y63" s="78">
        <f t="shared" si="96"/>
        <v>0</v>
      </c>
      <c r="Z63" s="78">
        <f t="shared" si="96"/>
        <v>0</v>
      </c>
      <c r="AA63" s="78">
        <f t="shared" si="96"/>
        <v>0</v>
      </c>
      <c r="AB63" s="78">
        <f t="shared" ref="AB63:AB68" si="100">SUM(T63:AA63)</f>
        <v>0</v>
      </c>
      <c r="AC63" s="327">
        <v>0</v>
      </c>
      <c r="AE63" s="63"/>
    </row>
    <row r="64" spans="1:31">
      <c r="A64" s="231"/>
      <c r="B64" s="4"/>
      <c r="C64" s="4"/>
      <c r="D64" s="4" t="s">
        <v>375</v>
      </c>
      <c r="E64" s="213"/>
      <c r="F64" s="248"/>
      <c r="G64" s="37"/>
      <c r="H64" s="326" t="s">
        <v>133</v>
      </c>
      <c r="I64" s="78">
        <f t="shared" si="97"/>
        <v>550</v>
      </c>
      <c r="J64" s="78">
        <f t="shared" si="97"/>
        <v>550</v>
      </c>
      <c r="K64" s="78">
        <f t="shared" si="97"/>
        <v>550</v>
      </c>
      <c r="L64" s="78">
        <f t="shared" si="97"/>
        <v>550</v>
      </c>
      <c r="M64" s="78">
        <f t="shared" si="98"/>
        <v>2200</v>
      </c>
      <c r="N64" s="328">
        <v>6600</v>
      </c>
      <c r="S64" s="326" t="s">
        <v>133</v>
      </c>
      <c r="T64" s="78">
        <f t="shared" si="99"/>
        <v>1200</v>
      </c>
      <c r="U64" s="78">
        <f t="shared" si="96"/>
        <v>1200</v>
      </c>
      <c r="V64" s="78">
        <f t="shared" si="96"/>
        <v>1200</v>
      </c>
      <c r="W64" s="78">
        <f t="shared" si="96"/>
        <v>1200</v>
      </c>
      <c r="X64" s="78">
        <f t="shared" si="96"/>
        <v>1200</v>
      </c>
      <c r="Y64" s="78">
        <f t="shared" si="96"/>
        <v>1200</v>
      </c>
      <c r="Z64" s="78">
        <f t="shared" si="96"/>
        <v>1200</v>
      </c>
      <c r="AA64" s="78">
        <f t="shared" si="96"/>
        <v>1200</v>
      </c>
      <c r="AB64" s="78">
        <f t="shared" si="100"/>
        <v>9600</v>
      </c>
      <c r="AC64" s="327">
        <v>14400</v>
      </c>
      <c r="AE64" s="63"/>
    </row>
    <row r="65" spans="1:31">
      <c r="A65" s="231"/>
      <c r="B65" s="4"/>
      <c r="C65" s="4"/>
      <c r="D65" s="4" t="s">
        <v>375</v>
      </c>
      <c r="E65" s="213"/>
      <c r="F65" s="248"/>
      <c r="G65" s="37"/>
      <c r="H65" s="326" t="s">
        <v>1159</v>
      </c>
      <c r="I65" s="78">
        <f t="shared" si="97"/>
        <v>5250</v>
      </c>
      <c r="J65" s="78">
        <f t="shared" si="97"/>
        <v>5250</v>
      </c>
      <c r="K65" s="78">
        <f t="shared" si="97"/>
        <v>5250</v>
      </c>
      <c r="L65" s="78">
        <f t="shared" si="97"/>
        <v>5250</v>
      </c>
      <c r="M65" s="78">
        <f t="shared" si="98"/>
        <v>21000</v>
      </c>
      <c r="N65" s="328">
        <v>63000</v>
      </c>
      <c r="S65" s="326" t="s">
        <v>1169</v>
      </c>
      <c r="T65" s="78">
        <f t="shared" si="99"/>
        <v>2250</v>
      </c>
      <c r="U65" s="78">
        <f t="shared" si="96"/>
        <v>2250</v>
      </c>
      <c r="V65" s="78">
        <f t="shared" si="96"/>
        <v>2250</v>
      </c>
      <c r="W65" s="78">
        <f t="shared" si="96"/>
        <v>2250</v>
      </c>
      <c r="X65" s="78">
        <f t="shared" si="96"/>
        <v>2250</v>
      </c>
      <c r="Y65" s="78">
        <f t="shared" si="96"/>
        <v>2250</v>
      </c>
      <c r="Z65" s="78">
        <f t="shared" si="96"/>
        <v>2250</v>
      </c>
      <c r="AA65" s="78">
        <f t="shared" si="96"/>
        <v>2250</v>
      </c>
      <c r="AB65" s="78">
        <f t="shared" si="100"/>
        <v>18000</v>
      </c>
      <c r="AC65" s="327">
        <v>27000</v>
      </c>
      <c r="AE65" s="63"/>
    </row>
    <row r="66" spans="1:31">
      <c r="A66" s="231"/>
      <c r="B66" s="4"/>
      <c r="C66" s="4"/>
      <c r="D66" s="4" t="s">
        <v>375</v>
      </c>
      <c r="E66" s="213"/>
      <c r="F66" s="248"/>
      <c r="G66" s="37"/>
      <c r="H66" s="326" t="s">
        <v>1163</v>
      </c>
      <c r="I66" s="78">
        <f t="shared" si="97"/>
        <v>0</v>
      </c>
      <c r="J66" s="78">
        <f t="shared" si="97"/>
        <v>0</v>
      </c>
      <c r="K66" s="78">
        <f t="shared" si="97"/>
        <v>0</v>
      </c>
      <c r="L66" s="78">
        <f t="shared" si="97"/>
        <v>0</v>
      </c>
      <c r="M66" s="78">
        <f t="shared" si="98"/>
        <v>0</v>
      </c>
      <c r="N66" s="328">
        <v>0</v>
      </c>
      <c r="S66" s="326" t="s">
        <v>1159</v>
      </c>
      <c r="T66" s="78">
        <f t="shared" si="99"/>
        <v>5000</v>
      </c>
      <c r="U66" s="78">
        <f t="shared" si="96"/>
        <v>5000</v>
      </c>
      <c r="V66" s="78">
        <f t="shared" si="96"/>
        <v>5000</v>
      </c>
      <c r="W66" s="78">
        <f t="shared" si="96"/>
        <v>5000</v>
      </c>
      <c r="X66" s="78">
        <f t="shared" si="96"/>
        <v>5000</v>
      </c>
      <c r="Y66" s="78">
        <f t="shared" si="96"/>
        <v>5000</v>
      </c>
      <c r="Z66" s="78">
        <f t="shared" si="96"/>
        <v>5000</v>
      </c>
      <c r="AA66" s="78">
        <f t="shared" si="96"/>
        <v>5000</v>
      </c>
      <c r="AB66" s="78">
        <f t="shared" si="100"/>
        <v>40000</v>
      </c>
      <c r="AC66" s="327">
        <v>60000</v>
      </c>
      <c r="AE66" s="63"/>
    </row>
    <row r="67" spans="1:31">
      <c r="A67" s="231"/>
      <c r="B67" s="4"/>
      <c r="C67" s="4"/>
      <c r="D67" s="4" t="s">
        <v>375</v>
      </c>
      <c r="E67" s="213"/>
      <c r="F67" s="248"/>
      <c r="G67" s="37"/>
      <c r="H67" s="326" t="s">
        <v>1164</v>
      </c>
      <c r="I67" s="78">
        <f t="shared" si="97"/>
        <v>5711.5</v>
      </c>
      <c r="J67" s="78">
        <f t="shared" si="97"/>
        <v>5711.5</v>
      </c>
      <c r="K67" s="78">
        <f t="shared" si="97"/>
        <v>5711.5</v>
      </c>
      <c r="L67" s="78">
        <f t="shared" si="97"/>
        <v>5711.5</v>
      </c>
      <c r="M67" s="78">
        <f t="shared" si="98"/>
        <v>22846</v>
      </c>
      <c r="N67" s="328">
        <v>68538</v>
      </c>
      <c r="S67" s="326" t="s">
        <v>1167</v>
      </c>
      <c r="T67" s="78">
        <f t="shared" si="99"/>
        <v>183.33333333333334</v>
      </c>
      <c r="U67" s="78">
        <f t="shared" si="96"/>
        <v>183.33333333333334</v>
      </c>
      <c r="V67" s="78">
        <f t="shared" si="96"/>
        <v>183.33333333333334</v>
      </c>
      <c r="W67" s="78">
        <f t="shared" si="96"/>
        <v>183.33333333333334</v>
      </c>
      <c r="X67" s="78">
        <f t="shared" si="96"/>
        <v>183.33333333333334</v>
      </c>
      <c r="Y67" s="78">
        <f t="shared" si="96"/>
        <v>183.33333333333334</v>
      </c>
      <c r="Z67" s="78">
        <f t="shared" si="96"/>
        <v>183.33333333333334</v>
      </c>
      <c r="AA67" s="78">
        <f t="shared" si="96"/>
        <v>183.33333333333334</v>
      </c>
      <c r="AB67" s="78">
        <f t="shared" si="100"/>
        <v>1466.6666666666665</v>
      </c>
      <c r="AC67" s="327">
        <v>2200</v>
      </c>
      <c r="AE67" s="63"/>
    </row>
    <row r="68" spans="1:31">
      <c r="A68" s="316"/>
      <c r="B68" s="8"/>
      <c r="C68" s="8"/>
      <c r="D68" s="8" t="s">
        <v>375</v>
      </c>
      <c r="E68" s="318"/>
      <c r="F68" s="319"/>
      <c r="G68" s="37"/>
      <c r="H68" s="330" t="s">
        <v>1165</v>
      </c>
      <c r="I68" s="77">
        <f t="shared" si="97"/>
        <v>2296.75</v>
      </c>
      <c r="J68" s="77">
        <f t="shared" si="97"/>
        <v>2296.75</v>
      </c>
      <c r="K68" s="77">
        <f t="shared" si="97"/>
        <v>2296.75</v>
      </c>
      <c r="L68" s="77">
        <f t="shared" si="97"/>
        <v>2296.75</v>
      </c>
      <c r="M68" s="77">
        <f t="shared" si="98"/>
        <v>9187</v>
      </c>
      <c r="N68" s="333">
        <v>27561</v>
      </c>
      <c r="S68" s="330" t="s">
        <v>1164</v>
      </c>
      <c r="T68" s="77">
        <f t="shared" si="99"/>
        <v>5815</v>
      </c>
      <c r="U68" s="77">
        <f t="shared" si="96"/>
        <v>5815</v>
      </c>
      <c r="V68" s="77">
        <f t="shared" si="96"/>
        <v>5815</v>
      </c>
      <c r="W68" s="77">
        <f t="shared" si="96"/>
        <v>5815</v>
      </c>
      <c r="X68" s="77">
        <f t="shared" si="96"/>
        <v>5815</v>
      </c>
      <c r="Y68" s="77">
        <f t="shared" si="96"/>
        <v>5815</v>
      </c>
      <c r="Z68" s="77">
        <f t="shared" si="96"/>
        <v>5815</v>
      </c>
      <c r="AA68" s="77">
        <f t="shared" si="96"/>
        <v>5815</v>
      </c>
      <c r="AB68" s="77">
        <f t="shared" si="100"/>
        <v>46520</v>
      </c>
      <c r="AC68" s="331">
        <v>69780</v>
      </c>
      <c r="AE68" s="63"/>
    </row>
    <row r="69" spans="1:31" s="315" customFormat="1" ht="15" thickBot="1">
      <c r="A69" s="310">
        <v>4237</v>
      </c>
      <c r="B69" s="311"/>
      <c r="C69" s="311"/>
      <c r="D69" s="311" t="s">
        <v>375</v>
      </c>
      <c r="E69" s="312"/>
      <c r="F69" s="313"/>
      <c r="G69" s="269"/>
      <c r="H69" s="340" t="s">
        <v>48</v>
      </c>
      <c r="I69" s="341">
        <f>SUM(I62:I68)</f>
        <v>148985.16666666666</v>
      </c>
      <c r="J69" s="341">
        <f t="shared" ref="J69" si="101">SUM(J62:J68)</f>
        <v>148985.16666666666</v>
      </c>
      <c r="K69" s="341">
        <f t="shared" ref="K69" si="102">SUM(K62:K68)</f>
        <v>148985.16666666666</v>
      </c>
      <c r="L69" s="341">
        <f t="shared" ref="L69" si="103">SUM(L62:L68)</f>
        <v>148985.16666666666</v>
      </c>
      <c r="M69" s="341">
        <f>SUM(M62:M68)</f>
        <v>595940.66666666663</v>
      </c>
      <c r="N69" s="342">
        <f>SUM(N62:N68)</f>
        <v>1787822</v>
      </c>
      <c r="S69" s="340" t="s">
        <v>48</v>
      </c>
      <c r="T69" s="341">
        <f>SUM(T62:T68)</f>
        <v>155222.16666666669</v>
      </c>
      <c r="U69" s="341">
        <f t="shared" ref="U69" si="104">SUM(U62:U68)</f>
        <v>155222.16666666669</v>
      </c>
      <c r="V69" s="341">
        <f t="shared" ref="V69" si="105">SUM(V62:V68)</f>
        <v>155222.16666666669</v>
      </c>
      <c r="W69" s="341">
        <f t="shared" ref="W69" si="106">SUM(W62:W68)</f>
        <v>155222.16666666669</v>
      </c>
      <c r="X69" s="341">
        <f t="shared" ref="X69" si="107">SUM(X62:X68)</f>
        <v>155222.16666666669</v>
      </c>
      <c r="Y69" s="341">
        <f t="shared" ref="Y69" si="108">SUM(Y62:Y68)</f>
        <v>155222.16666666669</v>
      </c>
      <c r="Z69" s="341">
        <f t="shared" ref="Z69" si="109">SUM(Z62:Z68)</f>
        <v>155222.16666666669</v>
      </c>
      <c r="AA69" s="341">
        <f t="shared" ref="AA69" si="110">SUM(AA62:AA68)</f>
        <v>155222.16666666669</v>
      </c>
      <c r="AB69" s="341">
        <f t="shared" ref="AB69" si="111">SUM(AB62:AB68)</f>
        <v>1241777.3333333335</v>
      </c>
      <c r="AC69" s="342">
        <f>SUM(AC62:AC68)</f>
        <v>1862666</v>
      </c>
      <c r="AE69" s="385">
        <f>AB69+Q69+M69</f>
        <v>1837718</v>
      </c>
    </row>
    <row r="70" spans="1:31" ht="15" thickTop="1">
      <c r="A70" s="320"/>
      <c r="B70" s="321"/>
      <c r="C70" s="321"/>
      <c r="D70" s="321"/>
      <c r="E70" s="318"/>
      <c r="F70" s="322"/>
      <c r="G70" s="37"/>
      <c r="H70" s="337"/>
      <c r="I70" s="338"/>
      <c r="J70" s="321"/>
      <c r="K70" s="321"/>
      <c r="L70" s="321"/>
      <c r="M70" s="321"/>
      <c r="N70" s="339"/>
      <c r="S70" s="320"/>
      <c r="T70" s="321"/>
      <c r="U70" s="321"/>
      <c r="V70" s="321"/>
      <c r="W70" s="321"/>
      <c r="X70" s="321"/>
      <c r="Y70" s="321"/>
      <c r="Z70" s="321"/>
      <c r="AA70" s="321"/>
      <c r="AB70" s="321"/>
      <c r="AC70" s="339"/>
      <c r="AE70" s="63"/>
    </row>
    <row r="71" spans="1:31" s="323" customFormat="1" ht="15" thickBot="1">
      <c r="A71" s="277"/>
      <c r="B71" s="278"/>
      <c r="C71" s="278"/>
      <c r="D71" s="279" t="s">
        <v>1096</v>
      </c>
      <c r="E71" s="344"/>
      <c r="F71" s="345"/>
      <c r="G71" s="284"/>
      <c r="H71" s="346"/>
      <c r="I71" s="347">
        <f>I69+I60+I51+I42+I33+I24+I15</f>
        <v>798062.16666666663</v>
      </c>
      <c r="J71" s="347">
        <f t="shared" ref="J71:N71" si="112">J69+J60+J51+J42+J33+J24+J15</f>
        <v>798062.16666666663</v>
      </c>
      <c r="K71" s="347">
        <f t="shared" si="112"/>
        <v>798062.16666666663</v>
      </c>
      <c r="L71" s="347">
        <f t="shared" si="112"/>
        <v>798062.16666666663</v>
      </c>
      <c r="M71" s="347">
        <f t="shared" si="112"/>
        <v>3192248.6666666665</v>
      </c>
      <c r="N71" s="345">
        <f t="shared" si="112"/>
        <v>9576746</v>
      </c>
      <c r="S71" s="277"/>
      <c r="T71" s="348">
        <f>T69+T60+T51+T42+T33+T24+T15</f>
        <v>766720.08333333337</v>
      </c>
      <c r="U71" s="348">
        <f t="shared" ref="U71:AE71" si="113">U69+U60+U51+U42+U33+U24+U15</f>
        <v>766720.08333333337</v>
      </c>
      <c r="V71" s="348">
        <f t="shared" si="113"/>
        <v>766720.08333333337</v>
      </c>
      <c r="W71" s="348">
        <f t="shared" si="113"/>
        <v>766720.08333333337</v>
      </c>
      <c r="X71" s="348">
        <f t="shared" si="113"/>
        <v>766720.08333333337</v>
      </c>
      <c r="Y71" s="348">
        <f t="shared" si="113"/>
        <v>766720.08333333337</v>
      </c>
      <c r="Z71" s="348">
        <f t="shared" si="113"/>
        <v>766720.08333333337</v>
      </c>
      <c r="AA71" s="348">
        <f t="shared" si="113"/>
        <v>766720.08333333337</v>
      </c>
      <c r="AB71" s="348">
        <f t="shared" si="113"/>
        <v>6133760.666666667</v>
      </c>
      <c r="AC71" s="349">
        <f t="shared" si="113"/>
        <v>9200641</v>
      </c>
      <c r="AE71" s="387">
        <f t="shared" si="113"/>
        <v>9286653.333333334</v>
      </c>
    </row>
    <row r="72" spans="1:31" ht="15" thickTop="1"/>
  </sheetData>
  <autoFilter ref="A7:G71" xr:uid="{28D720FD-B264-4603-8A3F-AC523F45178E}"/>
  <mergeCells count="2">
    <mergeCell ref="H6:N6"/>
    <mergeCell ref="S6:AC6"/>
  </mergeCells>
  <conditionalFormatting sqref="A7:F7 I7:L7 B8:E8 D9:D16 E9:E71">
    <cfRule type="cellIs" dxfId="9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EBADC-163A-4CDE-AAE2-A1EE7C263F73}">
  <sheetPr>
    <tabColor theme="6" tint="0.59999389629810485"/>
  </sheetPr>
  <dimension ref="A1:T221"/>
  <sheetViews>
    <sheetView topLeftCell="D1" zoomScale="80" zoomScaleNormal="80" workbookViewId="0">
      <selection activeCell="K24" sqref="K24"/>
    </sheetView>
  </sheetViews>
  <sheetFormatPr defaultRowHeight="14.5"/>
  <cols>
    <col min="1" max="1" width="6.54296875" customWidth="1"/>
    <col min="2" max="2" width="7.7265625" bestFit="1" customWidth="1"/>
    <col min="3" max="3" width="11" bestFit="1" customWidth="1"/>
    <col min="4" max="4" width="66.26953125" customWidth="1"/>
    <col min="5" max="5" width="17.453125" bestFit="1" customWidth="1"/>
    <col min="6" max="6" width="14.7265625" customWidth="1"/>
    <col min="7" max="7" width="14.26953125" bestFit="1" customWidth="1"/>
    <col min="8" max="11" width="17.26953125" customWidth="1"/>
    <col min="12" max="12" width="6.1796875" customWidth="1"/>
    <col min="13" max="16" width="17.26953125" customWidth="1"/>
    <col min="17" max="17" width="3.453125" bestFit="1" customWidth="1"/>
    <col min="18" max="18" width="13.81640625" bestFit="1" customWidth="1"/>
    <col min="19" max="19" width="12.26953125" bestFit="1" customWidth="1"/>
    <col min="20" max="20" width="13.81640625" bestFit="1" customWidth="1"/>
  </cols>
  <sheetData>
    <row r="1" spans="1:20">
      <c r="A1" s="1" t="s">
        <v>1137</v>
      </c>
      <c r="B1" s="1"/>
    </row>
    <row r="2" spans="1:20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</row>
    <row r="3" spans="1:20">
      <c r="D3" s="72"/>
      <c r="G3" s="72" t="s">
        <v>213</v>
      </c>
      <c r="H3" s="4" t="s">
        <v>61</v>
      </c>
      <c r="I3" s="4"/>
      <c r="J3" s="4"/>
      <c r="K3" s="4"/>
      <c r="M3" s="4"/>
      <c r="N3" s="4"/>
      <c r="O3" s="4"/>
      <c r="P3" s="4" t="s">
        <v>61</v>
      </c>
    </row>
    <row r="4" spans="1:20">
      <c r="D4" s="72"/>
      <c r="G4" s="72" t="s">
        <v>1103</v>
      </c>
      <c r="H4" s="285"/>
      <c r="I4" s="285"/>
      <c r="J4" s="285"/>
      <c r="K4" s="285"/>
      <c r="L4" s="299"/>
      <c r="M4" s="285"/>
      <c r="N4" s="285"/>
      <c r="O4" s="285"/>
      <c r="P4" s="285"/>
    </row>
    <row r="5" spans="1:20">
      <c r="D5" s="72"/>
      <c r="G5" s="72"/>
    </row>
    <row r="6" spans="1:20" ht="15" thickBot="1">
      <c r="H6" s="420" t="s">
        <v>1155</v>
      </c>
      <c r="I6" s="421"/>
      <c r="J6" s="421"/>
      <c r="K6" s="422"/>
      <c r="L6" s="70"/>
      <c r="M6" s="420" t="s">
        <v>1158</v>
      </c>
      <c r="N6" s="421"/>
      <c r="O6" s="421"/>
      <c r="P6" s="422"/>
      <c r="R6" s="423" t="s">
        <v>1189</v>
      </c>
      <c r="S6" s="423"/>
      <c r="T6" s="423"/>
    </row>
    <row r="7" spans="1:20" ht="15" thickBot="1">
      <c r="A7" s="196" t="s">
        <v>0</v>
      </c>
      <c r="B7" s="197" t="s">
        <v>7</v>
      </c>
      <c r="C7" s="198" t="s">
        <v>1</v>
      </c>
      <c r="D7" s="199" t="s">
        <v>2</v>
      </c>
      <c r="E7" s="198" t="s">
        <v>1091</v>
      </c>
      <c r="F7" s="199" t="s">
        <v>1092</v>
      </c>
      <c r="G7" s="241"/>
      <c r="H7" s="196" t="s">
        <v>1141</v>
      </c>
      <c r="I7" s="197" t="s">
        <v>1142</v>
      </c>
      <c r="J7" s="198" t="s">
        <v>1140</v>
      </c>
      <c r="K7" s="199" t="s">
        <v>1139</v>
      </c>
      <c r="L7" s="241"/>
      <c r="M7" s="196" t="s">
        <v>1141</v>
      </c>
      <c r="N7" s="198" t="s">
        <v>1142</v>
      </c>
      <c r="O7" s="198" t="s">
        <v>1140</v>
      </c>
      <c r="P7" s="199" t="s">
        <v>48</v>
      </c>
      <c r="Q7" s="241"/>
      <c r="R7" s="7" t="s">
        <v>1188</v>
      </c>
      <c r="S7" s="7" t="s">
        <v>1187</v>
      </c>
      <c r="T7" s="7" t="s">
        <v>48</v>
      </c>
    </row>
    <row r="8" spans="1:20">
      <c r="A8" s="230">
        <v>1017</v>
      </c>
      <c r="B8" s="205">
        <v>103130</v>
      </c>
      <c r="C8" s="205" t="s">
        <v>232</v>
      </c>
      <c r="D8" s="205" t="s">
        <v>233</v>
      </c>
      <c r="E8" s="213" t="s">
        <v>180</v>
      </c>
      <c r="F8" s="247" t="s">
        <v>229</v>
      </c>
      <c r="G8" s="206"/>
      <c r="H8" s="271">
        <v>0</v>
      </c>
      <c r="I8" s="271">
        <v>0</v>
      </c>
      <c r="J8" s="271">
        <v>0</v>
      </c>
      <c r="K8" s="271">
        <f>SUM(H8:J8)</f>
        <v>0</v>
      </c>
      <c r="L8" s="289"/>
      <c r="M8" s="271">
        <v>0</v>
      </c>
      <c r="N8" s="271">
        <v>0</v>
      </c>
      <c r="O8" s="271">
        <v>0</v>
      </c>
      <c r="P8" s="271">
        <f>SUM(M8:O8)</f>
        <v>0</v>
      </c>
      <c r="Q8" s="37"/>
      <c r="R8" s="368">
        <v>14175.000000000002</v>
      </c>
      <c r="S8" s="369">
        <v>60000</v>
      </c>
      <c r="T8" s="369">
        <f>R8+S8</f>
        <v>74175</v>
      </c>
    </row>
    <row r="9" spans="1:20">
      <c r="A9" s="231">
        <v>2300</v>
      </c>
      <c r="B9" s="4">
        <v>103324</v>
      </c>
      <c r="C9" s="4" t="s">
        <v>235</v>
      </c>
      <c r="D9" s="4" t="s">
        <v>236</v>
      </c>
      <c r="E9" s="213" t="s">
        <v>5</v>
      </c>
      <c r="F9" s="248" t="s">
        <v>229</v>
      </c>
      <c r="G9" s="37"/>
      <c r="H9" s="271">
        <v>0</v>
      </c>
      <c r="I9" s="271">
        <v>0</v>
      </c>
      <c r="J9" s="271">
        <v>0</v>
      </c>
      <c r="K9" s="273">
        <f t="shared" ref="K9:K70" si="0">SUM(H9:J9)</f>
        <v>0</v>
      </c>
      <c r="L9" s="289"/>
      <c r="M9" s="271">
        <v>0</v>
      </c>
      <c r="N9" s="271">
        <v>0</v>
      </c>
      <c r="O9" s="271">
        <v>0</v>
      </c>
      <c r="P9" s="271">
        <f t="shared" ref="P9:P70" si="1">SUM(M9:O9)</f>
        <v>0</v>
      </c>
      <c r="Q9" s="37"/>
      <c r="R9" s="368">
        <v>0</v>
      </c>
      <c r="S9" s="369">
        <v>0</v>
      </c>
      <c r="T9" s="369">
        <f t="shared" ref="T9:T70" si="2">R9+S9</f>
        <v>0</v>
      </c>
    </row>
    <row r="10" spans="1:20">
      <c r="A10" s="231">
        <v>7016</v>
      </c>
      <c r="B10" s="4">
        <v>103606</v>
      </c>
      <c r="C10" s="4" t="s">
        <v>238</v>
      </c>
      <c r="D10" s="4" t="s">
        <v>239</v>
      </c>
      <c r="E10" s="213" t="s">
        <v>1093</v>
      </c>
      <c r="F10" s="248" t="s">
        <v>229</v>
      </c>
      <c r="G10" s="37"/>
      <c r="H10" s="271">
        <v>2010013.28</v>
      </c>
      <c r="I10" s="271">
        <v>4441369.8739534281</v>
      </c>
      <c r="J10" s="271">
        <v>124080</v>
      </c>
      <c r="K10" s="273">
        <f t="shared" si="0"/>
        <v>6575463.1539534284</v>
      </c>
      <c r="L10" s="289"/>
      <c r="M10" s="271">
        <v>2010013.28</v>
      </c>
      <c r="N10" s="271">
        <v>4441369.8739534281</v>
      </c>
      <c r="O10" s="271">
        <v>124080</v>
      </c>
      <c r="P10" s="271">
        <f t="shared" si="1"/>
        <v>6575463.1539534284</v>
      </c>
      <c r="Q10" s="37"/>
      <c r="R10" s="368">
        <v>0</v>
      </c>
      <c r="S10" s="369">
        <v>0</v>
      </c>
      <c r="T10" s="369">
        <f t="shared" si="2"/>
        <v>0</v>
      </c>
    </row>
    <row r="11" spans="1:20">
      <c r="A11" s="231">
        <v>5413</v>
      </c>
      <c r="B11" s="4">
        <v>103560</v>
      </c>
      <c r="C11" s="4" t="s">
        <v>241</v>
      </c>
      <c r="D11" s="4" t="s">
        <v>242</v>
      </c>
      <c r="E11" s="213" t="s">
        <v>6</v>
      </c>
      <c r="F11" s="248" t="s">
        <v>229</v>
      </c>
      <c r="G11" s="37"/>
      <c r="H11" s="271">
        <v>0</v>
      </c>
      <c r="I11" s="271">
        <v>0</v>
      </c>
      <c r="J11" s="271">
        <v>0</v>
      </c>
      <c r="K11" s="273">
        <f t="shared" si="0"/>
        <v>0</v>
      </c>
      <c r="L11" s="289"/>
      <c r="M11" s="271">
        <v>0</v>
      </c>
      <c r="N11" s="271">
        <v>0</v>
      </c>
      <c r="O11" s="271">
        <v>0</v>
      </c>
      <c r="P11" s="271">
        <f t="shared" si="1"/>
        <v>0</v>
      </c>
      <c r="Q11" s="37"/>
      <c r="R11" s="368">
        <v>0</v>
      </c>
      <c r="S11" s="369">
        <v>0</v>
      </c>
      <c r="T11" s="369">
        <f t="shared" si="2"/>
        <v>0</v>
      </c>
    </row>
    <row r="12" spans="1:20">
      <c r="A12" s="231">
        <v>2402</v>
      </c>
      <c r="B12" s="4">
        <v>103342</v>
      </c>
      <c r="C12" s="4" t="s">
        <v>244</v>
      </c>
      <c r="D12" s="4" t="s">
        <v>245</v>
      </c>
      <c r="E12" s="213" t="s">
        <v>5</v>
      </c>
      <c r="F12" s="248" t="s">
        <v>229</v>
      </c>
      <c r="G12" s="37"/>
      <c r="H12" s="271">
        <v>0</v>
      </c>
      <c r="I12" s="271">
        <v>0</v>
      </c>
      <c r="J12" s="271">
        <v>0</v>
      </c>
      <c r="K12" s="273">
        <f t="shared" si="0"/>
        <v>0</v>
      </c>
      <c r="L12" s="289"/>
      <c r="M12" s="271">
        <v>0</v>
      </c>
      <c r="N12" s="271">
        <v>0</v>
      </c>
      <c r="O12" s="271">
        <v>0</v>
      </c>
      <c r="P12" s="271">
        <f t="shared" si="1"/>
        <v>0</v>
      </c>
      <c r="Q12" s="37"/>
      <c r="R12" s="368">
        <v>257410.57692307691</v>
      </c>
      <c r="S12" s="369">
        <v>132000</v>
      </c>
      <c r="T12" s="369">
        <f t="shared" si="2"/>
        <v>389410.57692307688</v>
      </c>
    </row>
    <row r="13" spans="1:20">
      <c r="A13" s="231">
        <v>2401</v>
      </c>
      <c r="B13" s="4">
        <v>103341</v>
      </c>
      <c r="C13" s="4" t="s">
        <v>247</v>
      </c>
      <c r="D13" s="4" t="s">
        <v>248</v>
      </c>
      <c r="E13" s="213" t="s">
        <v>5</v>
      </c>
      <c r="F13" s="248" t="s">
        <v>229</v>
      </c>
      <c r="G13" s="37"/>
      <c r="H13" s="271">
        <v>0</v>
      </c>
      <c r="I13" s="271">
        <v>0</v>
      </c>
      <c r="J13" s="271">
        <v>0</v>
      </c>
      <c r="K13" s="273">
        <f t="shared" si="0"/>
        <v>0</v>
      </c>
      <c r="L13" s="289"/>
      <c r="M13" s="271">
        <v>0</v>
      </c>
      <c r="N13" s="271">
        <v>0</v>
      </c>
      <c r="O13" s="271">
        <v>0</v>
      </c>
      <c r="P13" s="271">
        <f t="shared" si="1"/>
        <v>0</v>
      </c>
      <c r="Q13" s="37"/>
      <c r="R13" s="368">
        <v>0</v>
      </c>
      <c r="S13" s="369">
        <v>0</v>
      </c>
      <c r="T13" s="369">
        <f t="shared" si="2"/>
        <v>0</v>
      </c>
    </row>
    <row r="14" spans="1:20">
      <c r="A14" s="231">
        <v>4115</v>
      </c>
      <c r="B14" s="4">
        <v>103493</v>
      </c>
      <c r="C14" s="4" t="s">
        <v>250</v>
      </c>
      <c r="D14" s="4" t="s">
        <v>251</v>
      </c>
      <c r="E14" s="213" t="s">
        <v>6</v>
      </c>
      <c r="F14" s="248" t="s">
        <v>229</v>
      </c>
      <c r="G14" s="37"/>
      <c r="H14" s="271">
        <v>0</v>
      </c>
      <c r="I14" s="271">
        <v>0</v>
      </c>
      <c r="J14" s="271">
        <v>0</v>
      </c>
      <c r="K14" s="273">
        <f t="shared" si="0"/>
        <v>0</v>
      </c>
      <c r="L14" s="289"/>
      <c r="M14" s="271">
        <v>0</v>
      </c>
      <c r="N14" s="271">
        <v>0</v>
      </c>
      <c r="O14" s="271">
        <v>0</v>
      </c>
      <c r="P14" s="271">
        <f t="shared" si="1"/>
        <v>0</v>
      </c>
      <c r="Q14" s="37"/>
      <c r="R14" s="368">
        <v>189843.4319653846</v>
      </c>
      <c r="S14" s="369">
        <v>72000</v>
      </c>
      <c r="T14" s="369">
        <f t="shared" si="2"/>
        <v>261843.4319653846</v>
      </c>
    </row>
    <row r="15" spans="1:20">
      <c r="A15" s="231">
        <v>2030</v>
      </c>
      <c r="B15" s="4">
        <v>103172</v>
      </c>
      <c r="C15" s="4" t="s">
        <v>253</v>
      </c>
      <c r="D15" s="4" t="s">
        <v>254</v>
      </c>
      <c r="E15" s="213" t="s">
        <v>5</v>
      </c>
      <c r="F15" s="248" t="s">
        <v>229</v>
      </c>
      <c r="G15" s="37"/>
      <c r="H15" s="271">
        <v>0</v>
      </c>
      <c r="I15" s="271">
        <v>0</v>
      </c>
      <c r="J15" s="271">
        <v>0</v>
      </c>
      <c r="K15" s="273">
        <f t="shared" si="0"/>
        <v>0</v>
      </c>
      <c r="L15" s="289"/>
      <c r="M15" s="271">
        <v>0</v>
      </c>
      <c r="N15" s="271">
        <v>0</v>
      </c>
      <c r="O15" s="271">
        <v>0</v>
      </c>
      <c r="P15" s="271">
        <f t="shared" si="1"/>
        <v>0</v>
      </c>
      <c r="Q15" s="37"/>
      <c r="R15" s="368">
        <v>0</v>
      </c>
      <c r="S15" s="369">
        <v>0</v>
      </c>
      <c r="T15" s="369">
        <f t="shared" si="2"/>
        <v>0</v>
      </c>
    </row>
    <row r="16" spans="1:20">
      <c r="A16" s="231">
        <v>2238</v>
      </c>
      <c r="B16" s="4">
        <v>103288</v>
      </c>
      <c r="C16" s="4" t="s">
        <v>256</v>
      </c>
      <c r="D16" s="4" t="s">
        <v>257</v>
      </c>
      <c r="E16" s="213" t="s">
        <v>5</v>
      </c>
      <c r="F16" s="248" t="s">
        <v>229</v>
      </c>
      <c r="G16" s="37"/>
      <c r="H16" s="271">
        <v>0</v>
      </c>
      <c r="I16" s="271">
        <v>0</v>
      </c>
      <c r="J16" s="271">
        <v>0</v>
      </c>
      <c r="K16" s="273">
        <f t="shared" si="0"/>
        <v>0</v>
      </c>
      <c r="L16" s="289"/>
      <c r="M16" s="271">
        <v>0</v>
      </c>
      <c r="N16" s="271">
        <v>0</v>
      </c>
      <c r="O16" s="271">
        <v>0</v>
      </c>
      <c r="P16" s="271">
        <f t="shared" si="1"/>
        <v>0</v>
      </c>
      <c r="Q16" s="37"/>
      <c r="R16" s="368">
        <v>0</v>
      </c>
      <c r="S16" s="369">
        <v>0</v>
      </c>
      <c r="T16" s="369">
        <f t="shared" si="2"/>
        <v>0</v>
      </c>
    </row>
    <row r="17" spans="1:20">
      <c r="A17" s="231">
        <v>2236</v>
      </c>
      <c r="B17" s="4">
        <v>103286</v>
      </c>
      <c r="C17" s="4" t="s">
        <v>259</v>
      </c>
      <c r="D17" s="4" t="s">
        <v>260</v>
      </c>
      <c r="E17" s="213" t="s">
        <v>5</v>
      </c>
      <c r="F17" s="248" t="s">
        <v>229</v>
      </c>
      <c r="G17" s="37"/>
      <c r="H17" s="271">
        <v>0</v>
      </c>
      <c r="I17" s="271">
        <v>0</v>
      </c>
      <c r="J17" s="271">
        <v>0</v>
      </c>
      <c r="K17" s="273">
        <f t="shared" si="0"/>
        <v>0</v>
      </c>
      <c r="L17" s="289"/>
      <c r="M17" s="271">
        <v>0</v>
      </c>
      <c r="N17" s="271">
        <v>0</v>
      </c>
      <c r="O17" s="271">
        <v>0</v>
      </c>
      <c r="P17" s="271">
        <f t="shared" si="1"/>
        <v>0</v>
      </c>
      <c r="Q17" s="37"/>
      <c r="R17" s="368">
        <v>0</v>
      </c>
      <c r="S17" s="369">
        <v>0</v>
      </c>
      <c r="T17" s="369">
        <f t="shared" si="2"/>
        <v>0</v>
      </c>
    </row>
    <row r="18" spans="1:20">
      <c r="A18" s="231">
        <v>4801</v>
      </c>
      <c r="B18" s="4">
        <v>103539</v>
      </c>
      <c r="C18" s="4" t="s">
        <v>262</v>
      </c>
      <c r="D18" s="4" t="s">
        <v>263</v>
      </c>
      <c r="E18" s="213" t="s">
        <v>6</v>
      </c>
      <c r="F18" s="248" t="s">
        <v>229</v>
      </c>
      <c r="G18" s="37"/>
      <c r="H18" s="271">
        <v>0</v>
      </c>
      <c r="I18" s="271">
        <v>0</v>
      </c>
      <c r="J18" s="271">
        <v>0</v>
      </c>
      <c r="K18" s="273">
        <f t="shared" si="0"/>
        <v>0</v>
      </c>
      <c r="L18" s="289"/>
      <c r="M18" s="271">
        <v>0</v>
      </c>
      <c r="N18" s="271">
        <v>0</v>
      </c>
      <c r="O18" s="271">
        <v>0</v>
      </c>
      <c r="P18" s="271">
        <f t="shared" si="1"/>
        <v>0</v>
      </c>
      <c r="Q18" s="37"/>
      <c r="R18" s="368">
        <v>0</v>
      </c>
      <c r="S18" s="369">
        <v>0</v>
      </c>
      <c r="T18" s="369">
        <f t="shared" si="2"/>
        <v>0</v>
      </c>
    </row>
    <row r="19" spans="1:20">
      <c r="A19" s="231">
        <v>2312</v>
      </c>
      <c r="B19" s="4">
        <v>103332</v>
      </c>
      <c r="C19" s="4" t="s">
        <v>265</v>
      </c>
      <c r="D19" s="4" t="s">
        <v>266</v>
      </c>
      <c r="E19" s="213" t="s">
        <v>5</v>
      </c>
      <c r="F19" s="248" t="s">
        <v>229</v>
      </c>
      <c r="G19" s="37"/>
      <c r="H19" s="271">
        <v>0</v>
      </c>
      <c r="I19" s="271">
        <v>0</v>
      </c>
      <c r="J19" s="271">
        <v>0</v>
      </c>
      <c r="K19" s="273">
        <f t="shared" si="0"/>
        <v>0</v>
      </c>
      <c r="L19" s="289"/>
      <c r="M19" s="271">
        <v>0</v>
      </c>
      <c r="N19" s="271">
        <v>0</v>
      </c>
      <c r="O19" s="271">
        <v>0</v>
      </c>
      <c r="P19" s="271">
        <f t="shared" si="1"/>
        <v>0</v>
      </c>
      <c r="Q19" s="37"/>
      <c r="R19" s="368">
        <v>0</v>
      </c>
      <c r="S19" s="369">
        <v>0</v>
      </c>
      <c r="T19" s="369">
        <f t="shared" si="2"/>
        <v>0</v>
      </c>
    </row>
    <row r="20" spans="1:20">
      <c r="A20" s="231">
        <v>7051</v>
      </c>
      <c r="B20" s="4">
        <v>103626</v>
      </c>
      <c r="C20" s="4" t="s">
        <v>268</v>
      </c>
      <c r="D20" s="4" t="s">
        <v>269</v>
      </c>
      <c r="E20" s="213" t="s">
        <v>1093</v>
      </c>
      <c r="F20" s="248" t="s">
        <v>229</v>
      </c>
      <c r="G20" s="37"/>
      <c r="H20" s="271">
        <v>1186763.1600000001</v>
      </c>
      <c r="I20" s="271">
        <v>1324297.1692897202</v>
      </c>
      <c r="J20" s="271">
        <v>73260</v>
      </c>
      <c r="K20" s="273">
        <f t="shared" si="0"/>
        <v>2584320.3292897204</v>
      </c>
      <c r="L20" s="289"/>
      <c r="M20" s="271">
        <v>1186763.1600000001</v>
      </c>
      <c r="N20" s="271">
        <v>1361751.1692897202</v>
      </c>
      <c r="O20" s="271">
        <v>73260</v>
      </c>
      <c r="P20" s="271">
        <f t="shared" si="1"/>
        <v>2621774.3292897204</v>
      </c>
      <c r="Q20" s="37"/>
      <c r="R20" s="368">
        <v>0</v>
      </c>
      <c r="S20" s="369">
        <v>0</v>
      </c>
      <c r="T20" s="369">
        <f t="shared" si="2"/>
        <v>0</v>
      </c>
    </row>
    <row r="21" spans="1:20">
      <c r="A21" s="231">
        <v>2251</v>
      </c>
      <c r="B21" s="4">
        <v>103298</v>
      </c>
      <c r="C21" s="4" t="s">
        <v>271</v>
      </c>
      <c r="D21" s="4" t="s">
        <v>272</v>
      </c>
      <c r="E21" s="213" t="s">
        <v>5</v>
      </c>
      <c r="F21" s="248" t="s">
        <v>229</v>
      </c>
      <c r="G21" s="37"/>
      <c r="H21" s="271">
        <v>0</v>
      </c>
      <c r="I21" s="271">
        <v>0</v>
      </c>
      <c r="J21" s="271">
        <v>0</v>
      </c>
      <c r="K21" s="273">
        <f t="shared" si="0"/>
        <v>0</v>
      </c>
      <c r="L21" s="289"/>
      <c r="M21" s="271">
        <v>0</v>
      </c>
      <c r="N21" s="271">
        <v>0</v>
      </c>
      <c r="O21" s="271">
        <v>0</v>
      </c>
      <c r="P21" s="271">
        <f t="shared" si="1"/>
        <v>0</v>
      </c>
      <c r="Q21" s="37"/>
      <c r="R21" s="368">
        <v>0</v>
      </c>
      <c r="S21" s="369">
        <v>0</v>
      </c>
      <c r="T21" s="369">
        <f t="shared" si="2"/>
        <v>0</v>
      </c>
    </row>
    <row r="22" spans="1:20">
      <c r="A22" s="231">
        <v>3002</v>
      </c>
      <c r="B22" s="4">
        <v>103397</v>
      </c>
      <c r="C22" s="4" t="s">
        <v>274</v>
      </c>
      <c r="D22" s="4" t="s">
        <v>275</v>
      </c>
      <c r="E22" s="213" t="s">
        <v>5</v>
      </c>
      <c r="F22" s="248" t="s">
        <v>229</v>
      </c>
      <c r="G22" s="37"/>
      <c r="H22" s="271">
        <v>0</v>
      </c>
      <c r="I22" s="271">
        <v>0</v>
      </c>
      <c r="J22" s="271">
        <v>0</v>
      </c>
      <c r="K22" s="273">
        <f t="shared" si="0"/>
        <v>0</v>
      </c>
      <c r="L22" s="289"/>
      <c r="M22" s="271">
        <v>0</v>
      </c>
      <c r="N22" s="271">
        <v>0</v>
      </c>
      <c r="O22" s="271">
        <v>0</v>
      </c>
      <c r="P22" s="271">
        <f t="shared" si="1"/>
        <v>0</v>
      </c>
      <c r="Q22" s="37"/>
      <c r="R22" s="368">
        <v>0</v>
      </c>
      <c r="S22" s="369">
        <v>0</v>
      </c>
      <c r="T22" s="369">
        <f t="shared" si="2"/>
        <v>0</v>
      </c>
    </row>
    <row r="23" spans="1:20">
      <c r="A23" s="231">
        <v>3319</v>
      </c>
      <c r="B23" s="4">
        <v>103423</v>
      </c>
      <c r="C23" s="4" t="s">
        <v>277</v>
      </c>
      <c r="D23" s="4" t="s">
        <v>278</v>
      </c>
      <c r="E23" s="213" t="s">
        <v>5</v>
      </c>
      <c r="F23" s="248" t="s">
        <v>229</v>
      </c>
      <c r="G23" s="37"/>
      <c r="H23" s="271">
        <v>0</v>
      </c>
      <c r="I23" s="271">
        <v>0</v>
      </c>
      <c r="J23" s="271">
        <v>0</v>
      </c>
      <c r="K23" s="273">
        <f t="shared" si="0"/>
        <v>0</v>
      </c>
      <c r="L23" s="289"/>
      <c r="M23" s="271">
        <v>0</v>
      </c>
      <c r="N23" s="271">
        <v>0</v>
      </c>
      <c r="O23" s="271">
        <v>0</v>
      </c>
      <c r="P23" s="271">
        <f t="shared" si="1"/>
        <v>0</v>
      </c>
      <c r="Q23" s="37"/>
      <c r="R23" s="368">
        <v>0</v>
      </c>
      <c r="S23" s="369">
        <v>0</v>
      </c>
      <c r="T23" s="369">
        <f t="shared" si="2"/>
        <v>0</v>
      </c>
    </row>
    <row r="24" spans="1:20">
      <c r="A24" s="231">
        <v>5416</v>
      </c>
      <c r="B24" s="4">
        <v>103563</v>
      </c>
      <c r="C24" s="4" t="s">
        <v>280</v>
      </c>
      <c r="D24" s="4" t="s">
        <v>281</v>
      </c>
      <c r="E24" s="213" t="s">
        <v>6</v>
      </c>
      <c r="F24" s="248" t="s">
        <v>229</v>
      </c>
      <c r="G24" s="37"/>
      <c r="H24" s="271">
        <v>0</v>
      </c>
      <c r="I24" s="271">
        <v>0</v>
      </c>
      <c r="J24" s="271">
        <v>0</v>
      </c>
      <c r="K24" s="273">
        <f t="shared" si="0"/>
        <v>0</v>
      </c>
      <c r="L24" s="289"/>
      <c r="M24" s="271">
        <v>0</v>
      </c>
      <c r="N24" s="271">
        <v>0</v>
      </c>
      <c r="O24" s="271">
        <v>0</v>
      </c>
      <c r="P24" s="271">
        <f t="shared" si="1"/>
        <v>0</v>
      </c>
      <c r="Q24" s="37"/>
      <c r="R24" s="368">
        <v>0</v>
      </c>
      <c r="S24" s="369">
        <v>0</v>
      </c>
      <c r="T24" s="369">
        <f t="shared" si="2"/>
        <v>0</v>
      </c>
    </row>
    <row r="25" spans="1:20">
      <c r="A25" s="231">
        <v>2054</v>
      </c>
      <c r="B25" s="4">
        <v>103189</v>
      </c>
      <c r="C25" s="4" t="s">
        <v>283</v>
      </c>
      <c r="D25" s="4" t="s">
        <v>284</v>
      </c>
      <c r="E25" s="213" t="s">
        <v>5</v>
      </c>
      <c r="F25" s="248" t="s">
        <v>229</v>
      </c>
      <c r="G25" s="37"/>
      <c r="H25" s="271">
        <v>0</v>
      </c>
      <c r="I25" s="271">
        <v>0</v>
      </c>
      <c r="J25" s="271">
        <v>0</v>
      </c>
      <c r="K25" s="273">
        <f t="shared" si="0"/>
        <v>0</v>
      </c>
      <c r="L25" s="289"/>
      <c r="M25" s="271">
        <v>0</v>
      </c>
      <c r="N25" s="271">
        <v>0</v>
      </c>
      <c r="O25" s="271">
        <v>0</v>
      </c>
      <c r="P25" s="271">
        <f t="shared" si="1"/>
        <v>0</v>
      </c>
      <c r="Q25" s="37"/>
      <c r="R25" s="368">
        <v>0</v>
      </c>
      <c r="S25" s="369">
        <v>0</v>
      </c>
      <c r="T25" s="369">
        <f t="shared" si="2"/>
        <v>0</v>
      </c>
    </row>
    <row r="26" spans="1:20">
      <c r="A26" s="231">
        <v>2053</v>
      </c>
      <c r="B26" s="4">
        <v>103188</v>
      </c>
      <c r="C26" s="4" t="s">
        <v>286</v>
      </c>
      <c r="D26" s="4" t="s">
        <v>287</v>
      </c>
      <c r="E26" s="213" t="s">
        <v>5</v>
      </c>
      <c r="F26" s="248" t="s">
        <v>229</v>
      </c>
      <c r="G26" s="37"/>
      <c r="H26" s="271">
        <v>0</v>
      </c>
      <c r="I26" s="271">
        <v>0</v>
      </c>
      <c r="J26" s="271">
        <v>0</v>
      </c>
      <c r="K26" s="273">
        <f t="shared" si="0"/>
        <v>0</v>
      </c>
      <c r="L26" s="289"/>
      <c r="M26" s="271">
        <v>0</v>
      </c>
      <c r="N26" s="271">
        <v>0</v>
      </c>
      <c r="O26" s="271">
        <v>0</v>
      </c>
      <c r="P26" s="271">
        <f t="shared" si="1"/>
        <v>0</v>
      </c>
      <c r="Q26" s="37"/>
      <c r="R26" s="368">
        <v>0</v>
      </c>
      <c r="S26" s="369">
        <v>0</v>
      </c>
      <c r="T26" s="369">
        <f t="shared" si="2"/>
        <v>0</v>
      </c>
    </row>
    <row r="27" spans="1:20">
      <c r="A27" s="231">
        <v>2055</v>
      </c>
      <c r="B27" s="4">
        <v>103190</v>
      </c>
      <c r="C27" s="4" t="s">
        <v>289</v>
      </c>
      <c r="D27" s="4" t="s">
        <v>290</v>
      </c>
      <c r="E27" s="213" t="s">
        <v>5</v>
      </c>
      <c r="F27" s="248" t="s">
        <v>229</v>
      </c>
      <c r="G27" s="37"/>
      <c r="H27" s="271">
        <v>0</v>
      </c>
      <c r="I27" s="271">
        <v>0</v>
      </c>
      <c r="J27" s="271">
        <v>0</v>
      </c>
      <c r="K27" s="273">
        <f t="shared" si="0"/>
        <v>0</v>
      </c>
      <c r="L27" s="289"/>
      <c r="M27" s="271">
        <v>0</v>
      </c>
      <c r="N27" s="271">
        <v>0</v>
      </c>
      <c r="O27" s="271">
        <v>0</v>
      </c>
      <c r="P27" s="271">
        <f t="shared" si="1"/>
        <v>0</v>
      </c>
      <c r="Q27" s="37"/>
      <c r="R27" s="368">
        <v>0</v>
      </c>
      <c r="S27" s="369">
        <v>0</v>
      </c>
      <c r="T27" s="369">
        <f t="shared" si="2"/>
        <v>0</v>
      </c>
    </row>
    <row r="28" spans="1:20">
      <c r="A28" s="231">
        <v>2486</v>
      </c>
      <c r="B28" s="4">
        <v>133759</v>
      </c>
      <c r="C28" s="4" t="s">
        <v>292</v>
      </c>
      <c r="D28" s="4" t="s">
        <v>293</v>
      </c>
      <c r="E28" s="213" t="s">
        <v>5</v>
      </c>
      <c r="F28" s="248" t="s">
        <v>229</v>
      </c>
      <c r="G28" s="37"/>
      <c r="H28" s="271">
        <v>0</v>
      </c>
      <c r="I28" s="271">
        <v>0</v>
      </c>
      <c r="J28" s="271">
        <v>0</v>
      </c>
      <c r="K28" s="273">
        <f t="shared" si="0"/>
        <v>0</v>
      </c>
      <c r="L28" s="289"/>
      <c r="M28" s="271">
        <v>0</v>
      </c>
      <c r="N28" s="271">
        <v>0</v>
      </c>
      <c r="O28" s="271">
        <v>0</v>
      </c>
      <c r="P28" s="271">
        <f t="shared" si="1"/>
        <v>0</v>
      </c>
      <c r="Q28" s="37"/>
      <c r="R28" s="368">
        <v>0</v>
      </c>
      <c r="S28" s="369">
        <v>0</v>
      </c>
      <c r="T28" s="369">
        <f t="shared" si="2"/>
        <v>0</v>
      </c>
    </row>
    <row r="29" spans="1:20">
      <c r="A29" s="231">
        <v>2296</v>
      </c>
      <c r="B29" s="4">
        <v>103320</v>
      </c>
      <c r="C29" s="4" t="s">
        <v>295</v>
      </c>
      <c r="D29" s="4" t="s">
        <v>297</v>
      </c>
      <c r="E29" s="213" t="s">
        <v>5</v>
      </c>
      <c r="F29" s="248" t="s">
        <v>296</v>
      </c>
      <c r="G29" s="37"/>
      <c r="H29" s="271">
        <v>0</v>
      </c>
      <c r="I29" s="271">
        <v>0</v>
      </c>
      <c r="J29" s="271">
        <v>0</v>
      </c>
      <c r="K29" s="273">
        <f t="shared" si="0"/>
        <v>0</v>
      </c>
      <c r="L29" s="289"/>
      <c r="M29" s="271">
        <v>0</v>
      </c>
      <c r="N29" s="271">
        <v>0</v>
      </c>
      <c r="O29" s="271">
        <v>0</v>
      </c>
      <c r="P29" s="271">
        <f t="shared" si="1"/>
        <v>0</v>
      </c>
      <c r="Q29" s="37"/>
      <c r="R29" s="368">
        <v>0</v>
      </c>
      <c r="S29" s="369">
        <v>0</v>
      </c>
      <c r="T29" s="369">
        <f t="shared" si="2"/>
        <v>0</v>
      </c>
    </row>
    <row r="30" spans="1:20">
      <c r="A30" s="231">
        <v>2092</v>
      </c>
      <c r="B30" s="4">
        <v>103209</v>
      </c>
      <c r="C30" s="4" t="s">
        <v>299</v>
      </c>
      <c r="D30" s="4" t="s">
        <v>300</v>
      </c>
      <c r="E30" s="213" t="s">
        <v>5</v>
      </c>
      <c r="F30" s="248" t="s">
        <v>229</v>
      </c>
      <c r="G30" s="37"/>
      <c r="H30" s="271">
        <v>0</v>
      </c>
      <c r="I30" s="271">
        <v>0</v>
      </c>
      <c r="J30" s="271">
        <v>0</v>
      </c>
      <c r="K30" s="273">
        <f t="shared" si="0"/>
        <v>0</v>
      </c>
      <c r="L30" s="289"/>
      <c r="M30" s="271">
        <v>0</v>
      </c>
      <c r="N30" s="271">
        <v>0</v>
      </c>
      <c r="O30" s="271">
        <v>0</v>
      </c>
      <c r="P30" s="271">
        <f t="shared" si="1"/>
        <v>0</v>
      </c>
      <c r="Q30" s="37"/>
      <c r="R30" s="368">
        <v>0</v>
      </c>
      <c r="S30" s="369">
        <v>0</v>
      </c>
      <c r="T30" s="369">
        <f t="shared" si="2"/>
        <v>0</v>
      </c>
    </row>
    <row r="31" spans="1:20">
      <c r="A31" s="231">
        <v>4201</v>
      </c>
      <c r="B31" s="4">
        <v>103503</v>
      </c>
      <c r="C31" s="4" t="s">
        <v>302</v>
      </c>
      <c r="D31" s="4" t="s">
        <v>303</v>
      </c>
      <c r="E31" s="213" t="s">
        <v>6</v>
      </c>
      <c r="F31" s="248" t="s">
        <v>229</v>
      </c>
      <c r="G31" s="37"/>
      <c r="H31" s="271">
        <v>0</v>
      </c>
      <c r="I31" s="271">
        <v>0</v>
      </c>
      <c r="J31" s="271">
        <v>0</v>
      </c>
      <c r="K31" s="273">
        <f t="shared" si="0"/>
        <v>0</v>
      </c>
      <c r="L31" s="289"/>
      <c r="M31" s="271">
        <v>0</v>
      </c>
      <c r="N31" s="271">
        <v>0</v>
      </c>
      <c r="O31" s="271">
        <v>0</v>
      </c>
      <c r="P31" s="271">
        <f t="shared" si="1"/>
        <v>0</v>
      </c>
      <c r="Q31" s="37"/>
      <c r="R31" s="368">
        <v>0</v>
      </c>
      <c r="S31" s="369">
        <v>0</v>
      </c>
      <c r="T31" s="369">
        <f t="shared" si="2"/>
        <v>0</v>
      </c>
    </row>
    <row r="32" spans="1:20">
      <c r="A32" s="231">
        <v>4015</v>
      </c>
      <c r="B32" s="4">
        <v>103483</v>
      </c>
      <c r="C32" s="4" t="s">
        <v>305</v>
      </c>
      <c r="D32" s="4" t="s">
        <v>306</v>
      </c>
      <c r="E32" s="213" t="s">
        <v>6</v>
      </c>
      <c r="F32" s="248" t="s">
        <v>229</v>
      </c>
      <c r="G32" s="37"/>
      <c r="H32" s="271">
        <v>0</v>
      </c>
      <c r="I32" s="271">
        <v>0</v>
      </c>
      <c r="J32" s="271">
        <v>0</v>
      </c>
      <c r="K32" s="273">
        <f t="shared" si="0"/>
        <v>0</v>
      </c>
      <c r="L32" s="289"/>
      <c r="M32" s="271">
        <v>0</v>
      </c>
      <c r="N32" s="271">
        <v>0</v>
      </c>
      <c r="O32" s="271">
        <v>0</v>
      </c>
      <c r="P32" s="271">
        <f t="shared" si="1"/>
        <v>0</v>
      </c>
      <c r="Q32" s="37"/>
      <c r="R32" s="368">
        <v>0</v>
      </c>
      <c r="S32" s="369">
        <v>0</v>
      </c>
      <c r="T32" s="369">
        <f t="shared" si="2"/>
        <v>0</v>
      </c>
    </row>
    <row r="33" spans="1:20">
      <c r="A33" s="231">
        <v>4223</v>
      </c>
      <c r="B33" s="4">
        <v>103509</v>
      </c>
      <c r="C33" s="4" t="s">
        <v>308</v>
      </c>
      <c r="D33" s="4" t="s">
        <v>309</v>
      </c>
      <c r="E33" s="213" t="s">
        <v>6</v>
      </c>
      <c r="F33" s="248" t="s">
        <v>229</v>
      </c>
      <c r="G33" s="37"/>
      <c r="H33" s="271">
        <v>0</v>
      </c>
      <c r="I33" s="271">
        <v>0</v>
      </c>
      <c r="J33" s="271">
        <v>0</v>
      </c>
      <c r="K33" s="273">
        <f t="shared" si="0"/>
        <v>0</v>
      </c>
      <c r="L33" s="289"/>
      <c r="M33" s="271">
        <v>0</v>
      </c>
      <c r="N33" s="271">
        <v>0</v>
      </c>
      <c r="O33" s="271">
        <v>0</v>
      </c>
      <c r="P33" s="271">
        <f t="shared" si="1"/>
        <v>0</v>
      </c>
      <c r="Q33" s="37"/>
      <c r="R33" s="368">
        <v>0</v>
      </c>
      <c r="S33" s="369">
        <v>0</v>
      </c>
      <c r="T33" s="369">
        <f t="shared" si="2"/>
        <v>0</v>
      </c>
    </row>
    <row r="34" spans="1:20">
      <c r="A34" s="231">
        <v>2015</v>
      </c>
      <c r="B34" s="4">
        <v>134102</v>
      </c>
      <c r="C34" s="4" t="s">
        <v>311</v>
      </c>
      <c r="D34" s="4" t="s">
        <v>312</v>
      </c>
      <c r="E34" s="213" t="s">
        <v>5</v>
      </c>
      <c r="F34" s="248" t="s">
        <v>229</v>
      </c>
      <c r="G34" s="37"/>
      <c r="H34" s="271">
        <v>0</v>
      </c>
      <c r="I34" s="271">
        <v>0</v>
      </c>
      <c r="J34" s="271">
        <v>0</v>
      </c>
      <c r="K34" s="273">
        <f t="shared" si="0"/>
        <v>0</v>
      </c>
      <c r="L34" s="289"/>
      <c r="M34" s="271">
        <v>0</v>
      </c>
      <c r="N34" s="271">
        <v>0</v>
      </c>
      <c r="O34" s="271">
        <v>0</v>
      </c>
      <c r="P34" s="271">
        <f t="shared" si="1"/>
        <v>0</v>
      </c>
      <c r="Q34" s="37"/>
      <c r="R34" s="368">
        <v>0</v>
      </c>
      <c r="S34" s="369">
        <v>0</v>
      </c>
      <c r="T34" s="369">
        <f t="shared" si="2"/>
        <v>0</v>
      </c>
    </row>
    <row r="35" spans="1:20">
      <c r="A35" s="231">
        <v>2462</v>
      </c>
      <c r="B35" s="4">
        <v>103388</v>
      </c>
      <c r="C35" s="4" t="s">
        <v>314</v>
      </c>
      <c r="D35" s="4" t="s">
        <v>315</v>
      </c>
      <c r="E35" s="213" t="s">
        <v>5</v>
      </c>
      <c r="F35" s="248" t="s">
        <v>229</v>
      </c>
      <c r="G35" s="37"/>
      <c r="H35" s="271">
        <v>0</v>
      </c>
      <c r="I35" s="271">
        <v>0</v>
      </c>
      <c r="J35" s="271">
        <v>0</v>
      </c>
      <c r="K35" s="273">
        <f t="shared" si="0"/>
        <v>0</v>
      </c>
      <c r="L35" s="289"/>
      <c r="M35" s="271">
        <v>0</v>
      </c>
      <c r="N35" s="271">
        <v>0</v>
      </c>
      <c r="O35" s="271">
        <v>0</v>
      </c>
      <c r="P35" s="271">
        <f t="shared" si="1"/>
        <v>0</v>
      </c>
      <c r="Q35" s="37"/>
      <c r="R35" s="368">
        <v>0</v>
      </c>
      <c r="S35" s="369">
        <v>0</v>
      </c>
      <c r="T35" s="369">
        <f t="shared" si="2"/>
        <v>0</v>
      </c>
    </row>
    <row r="36" spans="1:20">
      <c r="A36" s="231">
        <v>2127</v>
      </c>
      <c r="B36" s="4">
        <v>103227</v>
      </c>
      <c r="C36" s="4" t="s">
        <v>317</v>
      </c>
      <c r="D36" s="4" t="s">
        <v>318</v>
      </c>
      <c r="E36" s="213" t="s">
        <v>5</v>
      </c>
      <c r="F36" s="248" t="s">
        <v>229</v>
      </c>
      <c r="G36" s="37"/>
      <c r="H36" s="271">
        <v>0</v>
      </c>
      <c r="I36" s="271">
        <v>0</v>
      </c>
      <c r="J36" s="271">
        <v>0</v>
      </c>
      <c r="K36" s="273">
        <f t="shared" si="0"/>
        <v>0</v>
      </c>
      <c r="L36" s="289"/>
      <c r="M36" s="271">
        <v>0</v>
      </c>
      <c r="N36" s="271">
        <v>0</v>
      </c>
      <c r="O36" s="271">
        <v>0</v>
      </c>
      <c r="P36" s="271">
        <f t="shared" si="1"/>
        <v>0</v>
      </c>
      <c r="Q36" s="37"/>
      <c r="R36" s="368">
        <v>0</v>
      </c>
      <c r="S36" s="369">
        <v>0</v>
      </c>
      <c r="T36" s="369">
        <f t="shared" si="2"/>
        <v>0</v>
      </c>
    </row>
    <row r="37" spans="1:20">
      <c r="A37" s="231">
        <v>2129</v>
      </c>
      <c r="B37" s="4">
        <v>103229</v>
      </c>
      <c r="C37" s="4" t="s">
        <v>320</v>
      </c>
      <c r="D37" s="4" t="s">
        <v>321</v>
      </c>
      <c r="E37" s="213" t="s">
        <v>5</v>
      </c>
      <c r="F37" s="248" t="s">
        <v>229</v>
      </c>
      <c r="G37" s="37"/>
      <c r="H37" s="271">
        <v>0</v>
      </c>
      <c r="I37" s="271">
        <v>0</v>
      </c>
      <c r="J37" s="271">
        <v>0</v>
      </c>
      <c r="K37" s="273">
        <f t="shared" si="0"/>
        <v>0</v>
      </c>
      <c r="L37" s="289"/>
      <c r="M37" s="271">
        <v>0</v>
      </c>
      <c r="N37" s="271">
        <v>0</v>
      </c>
      <c r="O37" s="271">
        <v>0</v>
      </c>
      <c r="P37" s="271">
        <f t="shared" si="1"/>
        <v>0</v>
      </c>
      <c r="Q37" s="37"/>
      <c r="R37" s="368">
        <v>109067.3076923077</v>
      </c>
      <c r="S37" s="369">
        <v>72000</v>
      </c>
      <c r="T37" s="369">
        <f t="shared" si="2"/>
        <v>181067.30769230769</v>
      </c>
    </row>
    <row r="38" spans="1:20">
      <c r="A38" s="231">
        <v>2128</v>
      </c>
      <c r="B38" s="4">
        <v>103228</v>
      </c>
      <c r="C38" s="4" t="s">
        <v>323</v>
      </c>
      <c r="D38" s="4" t="s">
        <v>324</v>
      </c>
      <c r="E38" s="213" t="s">
        <v>5</v>
      </c>
      <c r="F38" s="248" t="s">
        <v>229</v>
      </c>
      <c r="G38" s="37"/>
      <c r="H38" s="271">
        <v>0</v>
      </c>
      <c r="I38" s="271">
        <v>0</v>
      </c>
      <c r="J38" s="271">
        <v>0</v>
      </c>
      <c r="K38" s="273">
        <f t="shared" si="0"/>
        <v>0</v>
      </c>
      <c r="L38" s="289"/>
      <c r="M38" s="271">
        <v>0</v>
      </c>
      <c r="N38" s="271">
        <v>0</v>
      </c>
      <c r="O38" s="271">
        <v>0</v>
      </c>
      <c r="P38" s="271">
        <f t="shared" si="1"/>
        <v>0</v>
      </c>
      <c r="Q38" s="37"/>
      <c r="R38" s="368">
        <v>118518.26923076923</v>
      </c>
      <c r="S38" s="369">
        <v>72000</v>
      </c>
      <c r="T38" s="369">
        <f t="shared" si="2"/>
        <v>190518.26923076925</v>
      </c>
    </row>
    <row r="39" spans="1:20">
      <c r="A39" s="231">
        <v>2133</v>
      </c>
      <c r="B39" s="4">
        <v>103233</v>
      </c>
      <c r="C39" s="4" t="s">
        <v>326</v>
      </c>
      <c r="D39" s="4" t="s">
        <v>327</v>
      </c>
      <c r="E39" s="213" t="s">
        <v>5</v>
      </c>
      <c r="F39" s="248" t="s">
        <v>229</v>
      </c>
      <c r="G39" s="37"/>
      <c r="H39" s="271">
        <v>0</v>
      </c>
      <c r="I39" s="271">
        <v>0</v>
      </c>
      <c r="J39" s="271">
        <v>0</v>
      </c>
      <c r="K39" s="273">
        <f t="shared" si="0"/>
        <v>0</v>
      </c>
      <c r="L39" s="289"/>
      <c r="M39" s="271">
        <v>0</v>
      </c>
      <c r="N39" s="271">
        <v>0</v>
      </c>
      <c r="O39" s="271">
        <v>0</v>
      </c>
      <c r="P39" s="271">
        <f t="shared" si="1"/>
        <v>0</v>
      </c>
      <c r="Q39" s="37"/>
      <c r="R39" s="368">
        <v>0</v>
      </c>
      <c r="S39" s="369">
        <v>0</v>
      </c>
      <c r="T39" s="369">
        <f t="shared" si="2"/>
        <v>0</v>
      </c>
    </row>
    <row r="40" spans="1:20">
      <c r="A40" s="231">
        <v>3322</v>
      </c>
      <c r="B40" s="4">
        <v>103426</v>
      </c>
      <c r="C40" s="4" t="s">
        <v>329</v>
      </c>
      <c r="D40" s="4" t="s">
        <v>330</v>
      </c>
      <c r="E40" s="213" t="s">
        <v>5</v>
      </c>
      <c r="F40" s="248" t="s">
        <v>229</v>
      </c>
      <c r="G40" s="37"/>
      <c r="H40" s="271">
        <v>0</v>
      </c>
      <c r="I40" s="271">
        <v>0</v>
      </c>
      <c r="J40" s="271">
        <v>0</v>
      </c>
      <c r="K40" s="273">
        <f t="shared" si="0"/>
        <v>0</v>
      </c>
      <c r="L40" s="289"/>
      <c r="M40" s="271">
        <v>0</v>
      </c>
      <c r="N40" s="271">
        <v>0</v>
      </c>
      <c r="O40" s="271">
        <v>0</v>
      </c>
      <c r="P40" s="271">
        <f t="shared" si="1"/>
        <v>0</v>
      </c>
      <c r="Q40" s="37"/>
      <c r="R40" s="368">
        <v>0</v>
      </c>
      <c r="S40" s="369">
        <v>0</v>
      </c>
      <c r="T40" s="369">
        <f t="shared" si="2"/>
        <v>0</v>
      </c>
    </row>
    <row r="41" spans="1:20">
      <c r="A41" s="231">
        <v>2416</v>
      </c>
      <c r="B41" s="4">
        <v>103351</v>
      </c>
      <c r="C41" s="4" t="s">
        <v>332</v>
      </c>
      <c r="D41" s="4" t="s">
        <v>333</v>
      </c>
      <c r="E41" s="213" t="s">
        <v>5</v>
      </c>
      <c r="F41" s="248" t="s">
        <v>229</v>
      </c>
      <c r="G41" s="37"/>
      <c r="H41" s="271">
        <v>0</v>
      </c>
      <c r="I41" s="271">
        <v>0</v>
      </c>
      <c r="J41" s="271">
        <v>0</v>
      </c>
      <c r="K41" s="273">
        <f t="shared" si="0"/>
        <v>0</v>
      </c>
      <c r="L41" s="289"/>
      <c r="M41" s="271">
        <v>0</v>
      </c>
      <c r="N41" s="271">
        <v>0</v>
      </c>
      <c r="O41" s="271">
        <v>0</v>
      </c>
      <c r="P41" s="271">
        <f t="shared" si="1"/>
        <v>0</v>
      </c>
      <c r="Q41" s="37"/>
      <c r="R41" s="368">
        <v>0</v>
      </c>
      <c r="S41" s="369">
        <v>0</v>
      </c>
      <c r="T41" s="369">
        <f t="shared" si="2"/>
        <v>0</v>
      </c>
    </row>
    <row r="42" spans="1:20">
      <c r="A42" s="231">
        <v>4245</v>
      </c>
      <c r="B42" s="4">
        <v>103519</v>
      </c>
      <c r="C42" s="4" t="s">
        <v>335</v>
      </c>
      <c r="D42" s="4" t="s">
        <v>336</v>
      </c>
      <c r="E42" s="213" t="s">
        <v>6</v>
      </c>
      <c r="F42" s="248" t="s">
        <v>229</v>
      </c>
      <c r="G42" s="37"/>
      <c r="H42" s="271">
        <v>0</v>
      </c>
      <c r="I42" s="271">
        <v>0</v>
      </c>
      <c r="J42" s="271">
        <v>0</v>
      </c>
      <c r="K42" s="273">
        <f t="shared" si="0"/>
        <v>0</v>
      </c>
      <c r="L42" s="289"/>
      <c r="M42" s="271">
        <v>0</v>
      </c>
      <c r="N42" s="271">
        <v>0</v>
      </c>
      <c r="O42" s="271">
        <v>0</v>
      </c>
      <c r="P42" s="271">
        <f t="shared" si="1"/>
        <v>0</v>
      </c>
      <c r="Q42" s="37"/>
      <c r="R42" s="368">
        <v>0</v>
      </c>
      <c r="S42" s="369">
        <v>0</v>
      </c>
      <c r="T42" s="369">
        <f t="shared" si="2"/>
        <v>0</v>
      </c>
    </row>
    <row r="43" spans="1:20">
      <c r="A43" s="231">
        <v>7053</v>
      </c>
      <c r="B43" s="4">
        <v>103628</v>
      </c>
      <c r="C43" s="4" t="s">
        <v>338</v>
      </c>
      <c r="D43" s="4" t="s">
        <v>339</v>
      </c>
      <c r="E43" s="213" t="s">
        <v>1093</v>
      </c>
      <c r="F43" s="248" t="s">
        <v>229</v>
      </c>
      <c r="G43" s="37"/>
      <c r="H43" s="271">
        <v>1924480.7999999998</v>
      </c>
      <c r="I43" s="271">
        <v>2140630.4981985278</v>
      </c>
      <c r="J43" s="271">
        <v>118800</v>
      </c>
      <c r="K43" s="273">
        <f t="shared" si="0"/>
        <v>4183911.2981985277</v>
      </c>
      <c r="L43" s="289"/>
      <c r="M43" s="271">
        <v>1924480.7999999998</v>
      </c>
      <c r="N43" s="271">
        <v>2140630.4981985278</v>
      </c>
      <c r="O43" s="271">
        <v>118800</v>
      </c>
      <c r="P43" s="271">
        <f t="shared" si="1"/>
        <v>4183911.2981985277</v>
      </c>
      <c r="Q43" s="37"/>
      <c r="R43" s="368">
        <v>0</v>
      </c>
      <c r="S43" s="369">
        <v>0</v>
      </c>
      <c r="T43" s="369">
        <f t="shared" si="2"/>
        <v>0</v>
      </c>
    </row>
    <row r="44" spans="1:20">
      <c r="A44" s="231">
        <v>4173</v>
      </c>
      <c r="B44" s="4">
        <v>103497</v>
      </c>
      <c r="C44" s="4" t="s">
        <v>341</v>
      </c>
      <c r="D44" s="4" t="s">
        <v>342</v>
      </c>
      <c r="E44" s="213" t="s">
        <v>6</v>
      </c>
      <c r="F44" s="248" t="s">
        <v>229</v>
      </c>
      <c r="G44" s="37"/>
      <c r="H44" s="271">
        <v>0</v>
      </c>
      <c r="I44" s="271">
        <v>0</v>
      </c>
      <c r="J44" s="271">
        <v>0</v>
      </c>
      <c r="K44" s="273">
        <f t="shared" si="0"/>
        <v>0</v>
      </c>
      <c r="L44" s="289"/>
      <c r="M44" s="271">
        <v>0</v>
      </c>
      <c r="N44" s="271">
        <v>0</v>
      </c>
      <c r="O44" s="271">
        <v>0</v>
      </c>
      <c r="P44" s="271">
        <f t="shared" si="1"/>
        <v>0</v>
      </c>
      <c r="Q44" s="37"/>
      <c r="R44" s="368">
        <v>0</v>
      </c>
      <c r="S44" s="369">
        <v>0</v>
      </c>
      <c r="T44" s="369">
        <f t="shared" si="2"/>
        <v>0</v>
      </c>
    </row>
    <row r="45" spans="1:20">
      <c r="A45" s="231">
        <v>7033</v>
      </c>
      <c r="B45" s="4">
        <v>103613</v>
      </c>
      <c r="C45" s="4" t="s">
        <v>344</v>
      </c>
      <c r="D45" s="4" t="s">
        <v>345</v>
      </c>
      <c r="E45" s="213" t="s">
        <v>1093</v>
      </c>
      <c r="F45" s="248" t="s">
        <v>229</v>
      </c>
      <c r="G45" s="37"/>
      <c r="H45" s="271">
        <v>4223166.2</v>
      </c>
      <c r="I45" s="271">
        <v>2403710.5983150913</v>
      </c>
      <c r="J45" s="271">
        <v>260700</v>
      </c>
      <c r="K45" s="273">
        <f t="shared" si="0"/>
        <v>6887576.7983150911</v>
      </c>
      <c r="L45" s="289"/>
      <c r="M45" s="271">
        <v>4223166.2</v>
      </c>
      <c r="N45" s="271">
        <v>2403710.5983150913</v>
      </c>
      <c r="O45" s="271">
        <v>260700</v>
      </c>
      <c r="P45" s="271">
        <f t="shared" si="1"/>
        <v>6887576.7983150911</v>
      </c>
      <c r="Q45" s="37"/>
      <c r="R45" s="368">
        <v>0</v>
      </c>
      <c r="S45" s="369">
        <v>0</v>
      </c>
      <c r="T45" s="369">
        <f t="shared" si="2"/>
        <v>0</v>
      </c>
    </row>
    <row r="46" spans="1:20">
      <c r="A46" s="231">
        <v>4177</v>
      </c>
      <c r="B46" s="4">
        <v>103498</v>
      </c>
      <c r="C46" s="4" t="s">
        <v>347</v>
      </c>
      <c r="D46" s="4" t="s">
        <v>348</v>
      </c>
      <c r="E46" s="213" t="s">
        <v>6</v>
      </c>
      <c r="F46" s="248" t="s">
        <v>229</v>
      </c>
      <c r="G46" s="37"/>
      <c r="H46" s="271">
        <v>0</v>
      </c>
      <c r="I46" s="271">
        <v>0</v>
      </c>
      <c r="J46" s="271">
        <v>0</v>
      </c>
      <c r="K46" s="273">
        <f t="shared" si="0"/>
        <v>0</v>
      </c>
      <c r="L46" s="289"/>
      <c r="M46" s="271">
        <v>0</v>
      </c>
      <c r="N46" s="271">
        <v>0</v>
      </c>
      <c r="O46" s="271">
        <v>0</v>
      </c>
      <c r="P46" s="271">
        <f t="shared" si="1"/>
        <v>0</v>
      </c>
      <c r="Q46" s="37"/>
      <c r="R46" s="368">
        <v>0</v>
      </c>
      <c r="S46" s="369">
        <v>0</v>
      </c>
      <c r="T46" s="369">
        <f t="shared" si="2"/>
        <v>0</v>
      </c>
    </row>
    <row r="47" spans="1:20">
      <c r="A47" s="231">
        <v>1038</v>
      </c>
      <c r="B47" s="4">
        <v>103142</v>
      </c>
      <c r="C47" s="4" t="s">
        <v>350</v>
      </c>
      <c r="D47" s="4" t="s">
        <v>351</v>
      </c>
      <c r="E47" s="213" t="s">
        <v>180</v>
      </c>
      <c r="F47" s="248" t="s">
        <v>229</v>
      </c>
      <c r="G47" s="37"/>
      <c r="H47" s="271">
        <v>0</v>
      </c>
      <c r="I47" s="271">
        <v>0</v>
      </c>
      <c r="J47" s="271">
        <v>0</v>
      </c>
      <c r="K47" s="273">
        <f t="shared" si="0"/>
        <v>0</v>
      </c>
      <c r="L47" s="289"/>
      <c r="M47" s="271">
        <v>0</v>
      </c>
      <c r="N47" s="271">
        <v>0</v>
      </c>
      <c r="O47" s="271">
        <v>0</v>
      </c>
      <c r="P47" s="271">
        <f t="shared" si="1"/>
        <v>0</v>
      </c>
      <c r="Q47" s="37"/>
      <c r="R47" s="368">
        <v>0</v>
      </c>
      <c r="S47" s="369">
        <v>0</v>
      </c>
      <c r="T47" s="369">
        <f t="shared" si="2"/>
        <v>0</v>
      </c>
    </row>
    <row r="48" spans="1:20">
      <c r="A48" s="231">
        <v>2174</v>
      </c>
      <c r="B48" s="4">
        <v>103255</v>
      </c>
      <c r="C48" s="4" t="s">
        <v>353</v>
      </c>
      <c r="D48" s="4" t="s">
        <v>354</v>
      </c>
      <c r="E48" s="213" t="s">
        <v>5</v>
      </c>
      <c r="F48" s="248" t="s">
        <v>229</v>
      </c>
      <c r="G48" s="37"/>
      <c r="H48" s="271">
        <v>0</v>
      </c>
      <c r="I48" s="271">
        <v>0</v>
      </c>
      <c r="J48" s="271">
        <v>0</v>
      </c>
      <c r="K48" s="273">
        <f t="shared" si="0"/>
        <v>0</v>
      </c>
      <c r="L48" s="289"/>
      <c r="M48" s="271">
        <v>0</v>
      </c>
      <c r="N48" s="271">
        <v>0</v>
      </c>
      <c r="O48" s="271">
        <v>0</v>
      </c>
      <c r="P48" s="271">
        <f t="shared" si="1"/>
        <v>0</v>
      </c>
      <c r="Q48" s="37"/>
      <c r="R48" s="368">
        <v>0</v>
      </c>
      <c r="S48" s="369">
        <v>0</v>
      </c>
      <c r="T48" s="369">
        <f t="shared" si="2"/>
        <v>0</v>
      </c>
    </row>
    <row r="49" spans="1:20">
      <c r="A49" s="231">
        <v>3363</v>
      </c>
      <c r="B49" s="4">
        <v>103455</v>
      </c>
      <c r="C49" s="4" t="s">
        <v>356</v>
      </c>
      <c r="D49" s="4" t="s">
        <v>357</v>
      </c>
      <c r="E49" s="213" t="s">
        <v>5</v>
      </c>
      <c r="F49" s="248" t="s">
        <v>229</v>
      </c>
      <c r="G49" s="37"/>
      <c r="H49" s="271">
        <v>0</v>
      </c>
      <c r="I49" s="271">
        <v>0</v>
      </c>
      <c r="J49" s="271">
        <v>0</v>
      </c>
      <c r="K49" s="273">
        <f t="shared" si="0"/>
        <v>0</v>
      </c>
      <c r="L49" s="289"/>
      <c r="M49" s="271">
        <v>0</v>
      </c>
      <c r="N49" s="271">
        <v>0</v>
      </c>
      <c r="O49" s="271">
        <v>0</v>
      </c>
      <c r="P49" s="271">
        <f t="shared" si="1"/>
        <v>0</v>
      </c>
      <c r="Q49" s="37"/>
      <c r="R49" s="368">
        <v>0</v>
      </c>
      <c r="S49" s="369">
        <v>0</v>
      </c>
      <c r="T49" s="369">
        <f t="shared" si="2"/>
        <v>0</v>
      </c>
    </row>
    <row r="50" spans="1:20">
      <c r="A50" s="231">
        <v>3377</v>
      </c>
      <c r="B50" s="4">
        <v>103463</v>
      </c>
      <c r="C50" s="4" t="s">
        <v>359</v>
      </c>
      <c r="D50" s="4" t="s">
        <v>360</v>
      </c>
      <c r="E50" s="213" t="s">
        <v>5</v>
      </c>
      <c r="F50" s="248" t="s">
        <v>229</v>
      </c>
      <c r="G50" s="37"/>
      <c r="H50" s="271">
        <v>0</v>
      </c>
      <c r="I50" s="271">
        <v>0</v>
      </c>
      <c r="J50" s="271">
        <v>0</v>
      </c>
      <c r="K50" s="273">
        <f t="shared" si="0"/>
        <v>0</v>
      </c>
      <c r="L50" s="289"/>
      <c r="M50" s="271">
        <v>0</v>
      </c>
      <c r="N50" s="271">
        <v>0</v>
      </c>
      <c r="O50" s="271">
        <v>0</v>
      </c>
      <c r="P50" s="271">
        <f t="shared" si="1"/>
        <v>0</v>
      </c>
      <c r="Q50" s="37"/>
      <c r="R50" s="368">
        <v>0</v>
      </c>
      <c r="S50" s="369">
        <v>0</v>
      </c>
      <c r="T50" s="369">
        <f t="shared" si="2"/>
        <v>0</v>
      </c>
    </row>
    <row r="51" spans="1:20">
      <c r="A51" s="231">
        <v>3371</v>
      </c>
      <c r="B51" s="4">
        <v>103459</v>
      </c>
      <c r="C51" s="4" t="s">
        <v>362</v>
      </c>
      <c r="D51" s="4" t="s">
        <v>363</v>
      </c>
      <c r="E51" s="213" t="s">
        <v>5</v>
      </c>
      <c r="F51" s="248" t="s">
        <v>229</v>
      </c>
      <c r="G51" s="37"/>
      <c r="H51" s="271">
        <v>0</v>
      </c>
      <c r="I51" s="271">
        <v>0</v>
      </c>
      <c r="J51" s="271">
        <v>0</v>
      </c>
      <c r="K51" s="273">
        <f t="shared" si="0"/>
        <v>0</v>
      </c>
      <c r="L51" s="289"/>
      <c r="M51" s="271">
        <v>0</v>
      </c>
      <c r="N51" s="271">
        <v>0</v>
      </c>
      <c r="O51" s="271">
        <v>0</v>
      </c>
      <c r="P51" s="271">
        <f t="shared" si="1"/>
        <v>0</v>
      </c>
      <c r="Q51" s="37"/>
      <c r="R51" s="368">
        <v>0</v>
      </c>
      <c r="S51" s="369">
        <v>0</v>
      </c>
      <c r="T51" s="369">
        <f t="shared" si="2"/>
        <v>0</v>
      </c>
    </row>
    <row r="52" spans="1:20">
      <c r="A52" s="231">
        <v>3016</v>
      </c>
      <c r="B52" s="4">
        <v>103404</v>
      </c>
      <c r="C52" s="4" t="s">
        <v>365</v>
      </c>
      <c r="D52" s="4" t="s">
        <v>366</v>
      </c>
      <c r="E52" s="213" t="s">
        <v>5</v>
      </c>
      <c r="F52" s="248" t="s">
        <v>229</v>
      </c>
      <c r="G52" s="37"/>
      <c r="H52" s="271">
        <v>0</v>
      </c>
      <c r="I52" s="271">
        <v>0</v>
      </c>
      <c r="J52" s="271">
        <v>0</v>
      </c>
      <c r="K52" s="273">
        <f t="shared" si="0"/>
        <v>0</v>
      </c>
      <c r="L52" s="289"/>
      <c r="M52" s="271">
        <v>0</v>
      </c>
      <c r="N52" s="271">
        <v>0</v>
      </c>
      <c r="O52" s="271">
        <v>0</v>
      </c>
      <c r="P52" s="271">
        <f t="shared" si="1"/>
        <v>0</v>
      </c>
      <c r="Q52" s="37"/>
      <c r="R52" s="368">
        <v>0</v>
      </c>
      <c r="S52" s="369">
        <v>0</v>
      </c>
      <c r="T52" s="369">
        <f t="shared" si="2"/>
        <v>0</v>
      </c>
    </row>
    <row r="53" spans="1:20">
      <c r="A53" s="231">
        <v>4606</v>
      </c>
      <c r="B53" s="4">
        <v>103531</v>
      </c>
      <c r="C53" s="4" t="s">
        <v>368</v>
      </c>
      <c r="D53" s="4" t="s">
        <v>369</v>
      </c>
      <c r="E53" s="213" t="s">
        <v>6</v>
      </c>
      <c r="F53" s="248" t="s">
        <v>229</v>
      </c>
      <c r="G53" s="37"/>
      <c r="H53" s="271">
        <v>0</v>
      </c>
      <c r="I53" s="271">
        <v>0</v>
      </c>
      <c r="J53" s="271">
        <v>0</v>
      </c>
      <c r="K53" s="273">
        <f t="shared" si="0"/>
        <v>0</v>
      </c>
      <c r="L53" s="289"/>
      <c r="M53" s="271">
        <v>0</v>
      </c>
      <c r="N53" s="271">
        <v>0</v>
      </c>
      <c r="O53" s="271">
        <v>0</v>
      </c>
      <c r="P53" s="271">
        <f t="shared" si="1"/>
        <v>0</v>
      </c>
      <c r="Q53" s="37"/>
      <c r="R53" s="368">
        <v>0</v>
      </c>
      <c r="S53" s="369">
        <v>0</v>
      </c>
      <c r="T53" s="369">
        <f t="shared" si="2"/>
        <v>0</v>
      </c>
    </row>
    <row r="54" spans="1:20">
      <c r="A54" s="231">
        <v>3428</v>
      </c>
      <c r="B54" s="4">
        <v>134476</v>
      </c>
      <c r="C54" s="4" t="s">
        <v>371</v>
      </c>
      <c r="D54" s="4" t="s">
        <v>372</v>
      </c>
      <c r="E54" s="213" t="s">
        <v>5</v>
      </c>
      <c r="F54" s="248" t="s">
        <v>229</v>
      </c>
      <c r="G54" s="37"/>
      <c r="H54" s="271">
        <v>0</v>
      </c>
      <c r="I54" s="271">
        <v>0</v>
      </c>
      <c r="J54" s="271">
        <v>0</v>
      </c>
      <c r="K54" s="273">
        <f t="shared" si="0"/>
        <v>0</v>
      </c>
      <c r="L54" s="289"/>
      <c r="M54" s="271">
        <v>0</v>
      </c>
      <c r="N54" s="271">
        <v>0</v>
      </c>
      <c r="O54" s="271">
        <v>0</v>
      </c>
      <c r="P54" s="271">
        <f t="shared" si="1"/>
        <v>0</v>
      </c>
      <c r="Q54" s="37"/>
      <c r="R54" s="368">
        <v>0</v>
      </c>
      <c r="S54" s="369">
        <v>0</v>
      </c>
      <c r="T54" s="369">
        <f t="shared" si="2"/>
        <v>0</v>
      </c>
    </row>
    <row r="55" spans="1:20">
      <c r="A55" s="231">
        <v>4237</v>
      </c>
      <c r="B55" s="4">
        <v>103514</v>
      </c>
      <c r="C55" s="4" t="s">
        <v>374</v>
      </c>
      <c r="D55" s="4" t="s">
        <v>375</v>
      </c>
      <c r="E55" s="213" t="s">
        <v>6</v>
      </c>
      <c r="F55" s="248" t="s">
        <v>229</v>
      </c>
      <c r="G55" s="37"/>
      <c r="H55" s="271">
        <v>0</v>
      </c>
      <c r="I55" s="271">
        <v>0</v>
      </c>
      <c r="J55" s="271">
        <v>0</v>
      </c>
      <c r="K55" s="273">
        <f t="shared" si="0"/>
        <v>0</v>
      </c>
      <c r="L55" s="289"/>
      <c r="M55" s="271">
        <v>0</v>
      </c>
      <c r="N55" s="271">
        <v>0</v>
      </c>
      <c r="O55" s="271">
        <v>0</v>
      </c>
      <c r="P55" s="271">
        <f t="shared" si="1"/>
        <v>0</v>
      </c>
      <c r="Q55" s="37"/>
      <c r="R55" s="368">
        <v>0</v>
      </c>
      <c r="S55" s="369">
        <v>0</v>
      </c>
      <c r="T55" s="369">
        <f t="shared" si="2"/>
        <v>0</v>
      </c>
    </row>
    <row r="56" spans="1:20">
      <c r="A56" s="231">
        <v>3323</v>
      </c>
      <c r="B56" s="4">
        <v>103427</v>
      </c>
      <c r="C56" s="4" t="s">
        <v>377</v>
      </c>
      <c r="D56" s="4" t="s">
        <v>378</v>
      </c>
      <c r="E56" s="213" t="s">
        <v>5</v>
      </c>
      <c r="F56" s="248" t="s">
        <v>229</v>
      </c>
      <c r="G56" s="37"/>
      <c r="H56" s="271">
        <v>0</v>
      </c>
      <c r="I56" s="271">
        <v>0</v>
      </c>
      <c r="J56" s="271">
        <v>0</v>
      </c>
      <c r="K56" s="273">
        <f t="shared" si="0"/>
        <v>0</v>
      </c>
      <c r="L56" s="289"/>
      <c r="M56" s="271">
        <v>0</v>
      </c>
      <c r="N56" s="271">
        <v>0</v>
      </c>
      <c r="O56" s="271">
        <v>0</v>
      </c>
      <c r="P56" s="271">
        <f t="shared" si="1"/>
        <v>0</v>
      </c>
      <c r="Q56" s="37"/>
      <c r="R56" s="368">
        <v>0</v>
      </c>
      <c r="S56" s="369">
        <v>0</v>
      </c>
      <c r="T56" s="369">
        <f t="shared" si="2"/>
        <v>0</v>
      </c>
    </row>
    <row r="57" spans="1:20">
      <c r="A57" s="231">
        <v>7014</v>
      </c>
      <c r="B57" s="4">
        <v>103605</v>
      </c>
      <c r="C57" s="4" t="s">
        <v>380</v>
      </c>
      <c r="D57" s="4" t="s">
        <v>381</v>
      </c>
      <c r="E57" s="213" t="s">
        <v>1093</v>
      </c>
      <c r="F57" s="248" t="s">
        <v>229</v>
      </c>
      <c r="G57" s="37"/>
      <c r="H57" s="271">
        <v>2843954.96</v>
      </c>
      <c r="I57" s="271">
        <v>3616303.306378155</v>
      </c>
      <c r="J57" s="271">
        <v>175560</v>
      </c>
      <c r="K57" s="273">
        <f t="shared" si="0"/>
        <v>6635818.266378155</v>
      </c>
      <c r="L57" s="289"/>
      <c r="M57" s="271">
        <v>2843954.96</v>
      </c>
      <c r="N57" s="271">
        <v>3616303.306378155</v>
      </c>
      <c r="O57" s="271">
        <v>175560</v>
      </c>
      <c r="P57" s="271">
        <f t="shared" si="1"/>
        <v>6635818.266378155</v>
      </c>
      <c r="Q57" s="37"/>
      <c r="R57" s="368">
        <v>0</v>
      </c>
      <c r="S57" s="369">
        <v>0</v>
      </c>
      <c r="T57" s="369">
        <f t="shared" si="2"/>
        <v>0</v>
      </c>
    </row>
    <row r="58" spans="1:20">
      <c r="A58" s="231">
        <v>7009</v>
      </c>
      <c r="B58" s="4">
        <v>103601</v>
      </c>
      <c r="C58" s="4" t="s">
        <v>383</v>
      </c>
      <c r="D58" s="4" t="s">
        <v>384</v>
      </c>
      <c r="E58" s="213" t="s">
        <v>1093</v>
      </c>
      <c r="F58" s="248" t="s">
        <v>229</v>
      </c>
      <c r="G58" s="37"/>
      <c r="H58" s="271">
        <v>2437675.6800000002</v>
      </c>
      <c r="I58" s="271">
        <v>3144837.9878339372</v>
      </c>
      <c r="J58" s="271">
        <v>150480</v>
      </c>
      <c r="K58" s="273">
        <f t="shared" si="0"/>
        <v>5732993.6678339373</v>
      </c>
      <c r="L58" s="289"/>
      <c r="M58" s="271">
        <v>2437675.6800000002</v>
      </c>
      <c r="N58" s="271">
        <v>3144837.9878339372</v>
      </c>
      <c r="O58" s="271">
        <v>150480</v>
      </c>
      <c r="P58" s="271">
        <f t="shared" si="1"/>
        <v>5732993.6678339373</v>
      </c>
      <c r="Q58" s="37"/>
      <c r="R58" s="368">
        <v>0</v>
      </c>
      <c r="S58" s="369">
        <v>0</v>
      </c>
      <c r="T58" s="369">
        <f t="shared" si="2"/>
        <v>0</v>
      </c>
    </row>
    <row r="59" spans="1:20">
      <c r="A59" s="231">
        <v>5203</v>
      </c>
      <c r="B59" s="4">
        <v>103544</v>
      </c>
      <c r="C59" s="4" t="s">
        <v>386</v>
      </c>
      <c r="D59" s="4" t="s">
        <v>387</v>
      </c>
      <c r="E59" s="213" t="s">
        <v>5</v>
      </c>
      <c r="F59" s="248" t="s">
        <v>229</v>
      </c>
      <c r="G59" s="37"/>
      <c r="H59" s="271">
        <v>0</v>
      </c>
      <c r="I59" s="271">
        <v>0</v>
      </c>
      <c r="J59" s="271">
        <v>0</v>
      </c>
      <c r="K59" s="273">
        <f t="shared" si="0"/>
        <v>0</v>
      </c>
      <c r="L59" s="289"/>
      <c r="M59" s="271">
        <v>0</v>
      </c>
      <c r="N59" s="271">
        <v>0</v>
      </c>
      <c r="O59" s="271">
        <v>0</v>
      </c>
      <c r="P59" s="271">
        <f t="shared" si="1"/>
        <v>0</v>
      </c>
      <c r="Q59" s="37"/>
      <c r="R59" s="368">
        <v>0</v>
      </c>
      <c r="S59" s="369">
        <v>0</v>
      </c>
      <c r="T59" s="369">
        <f t="shared" si="2"/>
        <v>0</v>
      </c>
    </row>
    <row r="60" spans="1:20">
      <c r="A60" s="231">
        <v>5202</v>
      </c>
      <c r="B60" s="4">
        <v>103543</v>
      </c>
      <c r="C60" s="4" t="s">
        <v>389</v>
      </c>
      <c r="D60" s="4" t="s">
        <v>390</v>
      </c>
      <c r="E60" s="213" t="s">
        <v>5</v>
      </c>
      <c r="F60" s="248" t="s">
        <v>229</v>
      </c>
      <c r="G60" s="37"/>
      <c r="H60" s="271">
        <v>0</v>
      </c>
      <c r="I60" s="271">
        <v>0</v>
      </c>
      <c r="J60" s="271">
        <v>0</v>
      </c>
      <c r="K60" s="273">
        <f t="shared" si="0"/>
        <v>0</v>
      </c>
      <c r="L60" s="289"/>
      <c r="M60" s="271">
        <v>0</v>
      </c>
      <c r="N60" s="271">
        <v>0</v>
      </c>
      <c r="O60" s="271">
        <v>0</v>
      </c>
      <c r="P60" s="271">
        <f t="shared" si="1"/>
        <v>0</v>
      </c>
      <c r="Q60" s="37"/>
      <c r="R60" s="368">
        <v>0</v>
      </c>
      <c r="S60" s="369">
        <v>0</v>
      </c>
      <c r="T60" s="369">
        <f t="shared" si="2"/>
        <v>0</v>
      </c>
    </row>
    <row r="61" spans="1:20">
      <c r="A61" s="231">
        <v>2308</v>
      </c>
      <c r="B61" s="4">
        <v>103328</v>
      </c>
      <c r="C61" s="4" t="s">
        <v>392</v>
      </c>
      <c r="D61" s="4" t="s">
        <v>393</v>
      </c>
      <c r="E61" s="213" t="s">
        <v>5</v>
      </c>
      <c r="F61" s="248" t="s">
        <v>229</v>
      </c>
      <c r="G61" s="37"/>
      <c r="H61" s="271">
        <v>0</v>
      </c>
      <c r="I61" s="271">
        <v>0</v>
      </c>
      <c r="J61" s="271">
        <v>0</v>
      </c>
      <c r="K61" s="273">
        <f t="shared" si="0"/>
        <v>0</v>
      </c>
      <c r="L61" s="289"/>
      <c r="M61" s="271">
        <v>0</v>
      </c>
      <c r="N61" s="271">
        <v>0</v>
      </c>
      <c r="O61" s="271">
        <v>0</v>
      </c>
      <c r="P61" s="271">
        <f t="shared" si="1"/>
        <v>0</v>
      </c>
      <c r="Q61" s="37"/>
      <c r="R61" s="368">
        <v>8996.2092634615401</v>
      </c>
      <c r="S61" s="369">
        <v>6000</v>
      </c>
      <c r="T61" s="369">
        <f t="shared" si="2"/>
        <v>14996.20926346154</v>
      </c>
    </row>
    <row r="62" spans="1:20">
      <c r="A62" s="231">
        <v>2011</v>
      </c>
      <c r="B62" s="4">
        <v>134099</v>
      </c>
      <c r="C62" s="4" t="s">
        <v>395</v>
      </c>
      <c r="D62" s="4" t="s">
        <v>396</v>
      </c>
      <c r="E62" s="213" t="s">
        <v>5</v>
      </c>
      <c r="F62" s="248" t="s">
        <v>229</v>
      </c>
      <c r="G62" s="37"/>
      <c r="H62" s="271">
        <v>0</v>
      </c>
      <c r="I62" s="271">
        <v>0</v>
      </c>
      <c r="J62" s="271">
        <v>0</v>
      </c>
      <c r="K62" s="273">
        <f t="shared" si="0"/>
        <v>0</v>
      </c>
      <c r="L62" s="289"/>
      <c r="M62" s="271">
        <v>0</v>
      </c>
      <c r="N62" s="271">
        <v>0</v>
      </c>
      <c r="O62" s="271">
        <v>0</v>
      </c>
      <c r="P62" s="271">
        <f t="shared" si="1"/>
        <v>0</v>
      </c>
      <c r="Q62" s="37"/>
      <c r="R62" s="368">
        <v>0</v>
      </c>
      <c r="S62" s="369">
        <v>0</v>
      </c>
      <c r="T62" s="369">
        <f t="shared" si="2"/>
        <v>0</v>
      </c>
    </row>
    <row r="63" spans="1:20">
      <c r="A63" s="231">
        <v>4193</v>
      </c>
      <c r="B63" s="4">
        <v>103501</v>
      </c>
      <c r="C63" s="4" t="s">
        <v>398</v>
      </c>
      <c r="D63" s="4" t="s">
        <v>399</v>
      </c>
      <c r="E63" s="213" t="s">
        <v>6</v>
      </c>
      <c r="F63" s="248" t="s">
        <v>229</v>
      </c>
      <c r="G63" s="37"/>
      <c r="H63" s="271">
        <v>0</v>
      </c>
      <c r="I63" s="271">
        <v>0</v>
      </c>
      <c r="J63" s="271">
        <v>0</v>
      </c>
      <c r="K63" s="273">
        <f t="shared" si="0"/>
        <v>0</v>
      </c>
      <c r="L63" s="289"/>
      <c r="M63" s="271">
        <v>0</v>
      </c>
      <c r="N63" s="271">
        <v>0</v>
      </c>
      <c r="O63" s="271">
        <v>0</v>
      </c>
      <c r="P63" s="271">
        <f t="shared" si="1"/>
        <v>0</v>
      </c>
      <c r="Q63" s="37"/>
      <c r="R63" s="368">
        <v>0</v>
      </c>
      <c r="S63" s="369">
        <v>0</v>
      </c>
      <c r="T63" s="369">
        <f t="shared" si="2"/>
        <v>0</v>
      </c>
    </row>
    <row r="64" spans="1:20">
      <c r="A64" s="231">
        <v>2293</v>
      </c>
      <c r="B64" s="4">
        <v>103317</v>
      </c>
      <c r="C64" s="4" t="s">
        <v>401</v>
      </c>
      <c r="D64" s="4" t="s">
        <v>402</v>
      </c>
      <c r="E64" s="213" t="s">
        <v>5</v>
      </c>
      <c r="F64" s="248" t="s">
        <v>229</v>
      </c>
      <c r="G64" s="37"/>
      <c r="H64" s="271">
        <v>0</v>
      </c>
      <c r="I64" s="271">
        <v>0</v>
      </c>
      <c r="J64" s="271">
        <v>0</v>
      </c>
      <c r="K64" s="273">
        <f t="shared" si="0"/>
        <v>0</v>
      </c>
      <c r="L64" s="289"/>
      <c r="M64" s="271">
        <v>0</v>
      </c>
      <c r="N64" s="271">
        <v>0</v>
      </c>
      <c r="O64" s="271">
        <v>0</v>
      </c>
      <c r="P64" s="271">
        <f t="shared" si="1"/>
        <v>0</v>
      </c>
      <c r="Q64" s="37"/>
      <c r="R64" s="368">
        <v>0</v>
      </c>
      <c r="S64" s="369">
        <v>0</v>
      </c>
      <c r="T64" s="369">
        <f t="shared" si="2"/>
        <v>0</v>
      </c>
    </row>
    <row r="65" spans="1:20">
      <c r="A65" s="231">
        <v>2225</v>
      </c>
      <c r="B65" s="4">
        <v>103279</v>
      </c>
      <c r="C65" s="4" t="s">
        <v>404</v>
      </c>
      <c r="D65" s="4" t="s">
        <v>405</v>
      </c>
      <c r="E65" s="213" t="s">
        <v>5</v>
      </c>
      <c r="F65" s="248" t="s">
        <v>229</v>
      </c>
      <c r="G65" s="37"/>
      <c r="H65" s="271">
        <v>0</v>
      </c>
      <c r="I65" s="271">
        <v>0</v>
      </c>
      <c r="J65" s="271">
        <v>0</v>
      </c>
      <c r="K65" s="273">
        <f t="shared" si="0"/>
        <v>0</v>
      </c>
      <c r="L65" s="289"/>
      <c r="M65" s="271">
        <v>0</v>
      </c>
      <c r="N65" s="271">
        <v>0</v>
      </c>
      <c r="O65" s="271">
        <v>0</v>
      </c>
      <c r="P65" s="271">
        <f t="shared" si="1"/>
        <v>0</v>
      </c>
      <c r="Q65" s="37"/>
      <c r="R65" s="368">
        <v>124267.76675000001</v>
      </c>
      <c r="S65" s="369">
        <v>56000</v>
      </c>
      <c r="T65" s="369">
        <f t="shared" si="2"/>
        <v>180267.76675000001</v>
      </c>
    </row>
    <row r="66" spans="1:20">
      <c r="A66" s="231">
        <v>2412</v>
      </c>
      <c r="B66" s="4">
        <v>103349</v>
      </c>
      <c r="C66" s="4" t="s">
        <v>407</v>
      </c>
      <c r="D66" s="4" t="s">
        <v>408</v>
      </c>
      <c r="E66" s="213" t="s">
        <v>5</v>
      </c>
      <c r="F66" s="248" t="s">
        <v>229</v>
      </c>
      <c r="G66" s="37"/>
      <c r="H66" s="271">
        <v>0</v>
      </c>
      <c r="I66" s="271">
        <v>0</v>
      </c>
      <c r="J66" s="271">
        <v>0</v>
      </c>
      <c r="K66" s="273">
        <f t="shared" si="0"/>
        <v>0</v>
      </c>
      <c r="L66" s="289"/>
      <c r="M66" s="271">
        <v>0</v>
      </c>
      <c r="N66" s="271">
        <v>0</v>
      </c>
      <c r="O66" s="271">
        <v>0</v>
      </c>
      <c r="P66" s="271">
        <f t="shared" si="1"/>
        <v>0</v>
      </c>
      <c r="Q66" s="37"/>
      <c r="R66" s="368">
        <v>0</v>
      </c>
      <c r="S66" s="369">
        <v>0</v>
      </c>
      <c r="T66" s="369">
        <f t="shared" si="2"/>
        <v>0</v>
      </c>
    </row>
    <row r="67" spans="1:20">
      <c r="A67" s="231">
        <v>2478</v>
      </c>
      <c r="B67" s="4">
        <v>132007</v>
      </c>
      <c r="C67" s="4" t="s">
        <v>565</v>
      </c>
      <c r="D67" s="4" t="s">
        <v>566</v>
      </c>
      <c r="E67" s="213" t="s">
        <v>5</v>
      </c>
      <c r="F67" s="248" t="s">
        <v>229</v>
      </c>
      <c r="G67" s="37"/>
      <c r="H67" s="271">
        <v>0</v>
      </c>
      <c r="I67" s="271">
        <v>0</v>
      </c>
      <c r="J67" s="271">
        <v>0</v>
      </c>
      <c r="K67" s="273">
        <f t="shared" si="0"/>
        <v>0</v>
      </c>
      <c r="L67" s="289"/>
      <c r="M67" s="271">
        <v>0</v>
      </c>
      <c r="N67" s="271">
        <v>0</v>
      </c>
      <c r="O67" s="271">
        <v>0</v>
      </c>
      <c r="P67" s="271">
        <f t="shared" si="1"/>
        <v>0</v>
      </c>
      <c r="Q67" s="37"/>
      <c r="R67" s="368">
        <v>0</v>
      </c>
      <c r="S67" s="369">
        <v>0</v>
      </c>
      <c r="T67" s="369">
        <f t="shared" si="2"/>
        <v>0</v>
      </c>
    </row>
    <row r="68" spans="1:20">
      <c r="A68" s="231">
        <v>4063</v>
      </c>
      <c r="B68" s="4">
        <v>103486</v>
      </c>
      <c r="C68" s="4" t="s">
        <v>687</v>
      </c>
      <c r="D68" s="4" t="s">
        <v>688</v>
      </c>
      <c r="E68" s="213" t="s">
        <v>6</v>
      </c>
      <c r="F68" s="248" t="s">
        <v>229</v>
      </c>
      <c r="G68" s="37"/>
      <c r="H68" s="271">
        <v>0</v>
      </c>
      <c r="I68" s="271">
        <v>0</v>
      </c>
      <c r="J68" s="271">
        <v>0</v>
      </c>
      <c r="K68" s="273">
        <f t="shared" si="0"/>
        <v>0</v>
      </c>
      <c r="L68" s="289"/>
      <c r="M68" s="271">
        <v>0</v>
      </c>
      <c r="N68" s="271">
        <v>0</v>
      </c>
      <c r="O68" s="271">
        <v>0</v>
      </c>
      <c r="P68" s="271">
        <f t="shared" si="1"/>
        <v>0</v>
      </c>
      <c r="Q68" s="37"/>
      <c r="R68" s="368">
        <v>0</v>
      </c>
      <c r="S68" s="369">
        <v>0</v>
      </c>
      <c r="T68" s="369">
        <f t="shared" si="2"/>
        <v>0</v>
      </c>
    </row>
    <row r="69" spans="1:20">
      <c r="A69" s="231">
        <v>3375</v>
      </c>
      <c r="B69" s="4">
        <v>103462</v>
      </c>
      <c r="C69" s="4" t="s">
        <v>783</v>
      </c>
      <c r="D69" s="4" t="s">
        <v>784</v>
      </c>
      <c r="E69" s="213" t="s">
        <v>5</v>
      </c>
      <c r="F69" s="248" t="s">
        <v>229</v>
      </c>
      <c r="G69" s="37"/>
      <c r="H69" s="271">
        <v>0</v>
      </c>
      <c r="I69" s="271">
        <v>0</v>
      </c>
      <c r="J69" s="271">
        <v>0</v>
      </c>
      <c r="K69" s="273">
        <f t="shared" si="0"/>
        <v>0</v>
      </c>
      <c r="L69" s="289"/>
      <c r="M69" s="271">
        <v>0</v>
      </c>
      <c r="N69" s="271">
        <v>0</v>
      </c>
      <c r="O69" s="271">
        <v>0</v>
      </c>
      <c r="P69" s="271">
        <f t="shared" si="1"/>
        <v>0</v>
      </c>
      <c r="Q69" s="37"/>
      <c r="R69" s="368">
        <v>0</v>
      </c>
      <c r="S69" s="369">
        <v>0</v>
      </c>
      <c r="T69" s="369">
        <f t="shared" si="2"/>
        <v>0</v>
      </c>
    </row>
    <row r="70" spans="1:20">
      <c r="A70" s="231">
        <v>2010</v>
      </c>
      <c r="B70" s="4">
        <v>103159</v>
      </c>
      <c r="C70" s="4" t="s">
        <v>228</v>
      </c>
      <c r="D70" s="4" t="s">
        <v>230</v>
      </c>
      <c r="E70" s="213" t="s">
        <v>5</v>
      </c>
      <c r="F70" s="248" t="s">
        <v>229</v>
      </c>
      <c r="G70" s="37"/>
      <c r="H70" s="271">
        <v>0</v>
      </c>
      <c r="I70" s="271">
        <v>0</v>
      </c>
      <c r="J70" s="271">
        <v>0</v>
      </c>
      <c r="K70" s="273">
        <f t="shared" si="0"/>
        <v>0</v>
      </c>
      <c r="L70" s="289"/>
      <c r="M70" s="271">
        <v>0</v>
      </c>
      <c r="N70" s="271">
        <v>0</v>
      </c>
      <c r="O70" s="271">
        <v>0</v>
      </c>
      <c r="P70" s="271">
        <f t="shared" si="1"/>
        <v>0</v>
      </c>
      <c r="Q70" s="37"/>
      <c r="R70" s="368">
        <v>0</v>
      </c>
      <c r="S70" s="369">
        <v>0</v>
      </c>
      <c r="T70" s="369">
        <f t="shared" si="2"/>
        <v>0</v>
      </c>
    </row>
    <row r="71" spans="1:20" s="218" customFormat="1" ht="15" thickBot="1">
      <c r="A71" s="233"/>
      <c r="B71" s="214"/>
      <c r="C71" s="214"/>
      <c r="D71" s="226" t="s">
        <v>1096</v>
      </c>
      <c r="E71" s="215"/>
      <c r="F71" s="249"/>
      <c r="G71" s="216"/>
      <c r="H71" s="274">
        <f t="shared" ref="H71:T71" si="3">SUM(H8:H70)</f>
        <v>14626054.080000002</v>
      </c>
      <c r="I71" s="274">
        <f t="shared" si="3"/>
        <v>17071149.433968857</v>
      </c>
      <c r="J71" s="274">
        <f t="shared" si="3"/>
        <v>902880</v>
      </c>
      <c r="K71" s="274">
        <f t="shared" si="3"/>
        <v>32600083.513968863</v>
      </c>
      <c r="L71" s="300"/>
      <c r="M71" s="274">
        <f t="shared" si="3"/>
        <v>14626054.080000002</v>
      </c>
      <c r="N71" s="274">
        <f t="shared" si="3"/>
        <v>17108603.433968857</v>
      </c>
      <c r="O71" s="274">
        <f t="shared" si="3"/>
        <v>902880</v>
      </c>
      <c r="P71" s="274">
        <f t="shared" si="3"/>
        <v>32637537.513968863</v>
      </c>
      <c r="Q71" s="216"/>
      <c r="R71" s="375">
        <f t="shared" si="3"/>
        <v>822278.56182499998</v>
      </c>
      <c r="S71" s="375">
        <f t="shared" si="3"/>
        <v>470000</v>
      </c>
      <c r="T71" s="375">
        <f t="shared" si="3"/>
        <v>1292278.561825</v>
      </c>
    </row>
    <row r="72" spans="1:20" ht="15" thickTop="1">
      <c r="A72" s="231"/>
      <c r="B72" s="4"/>
      <c r="C72" s="4"/>
      <c r="D72" s="4"/>
      <c r="E72" s="213"/>
      <c r="F72" s="248"/>
      <c r="G72" s="37"/>
      <c r="H72" s="271"/>
      <c r="I72" s="271"/>
      <c r="J72" s="271"/>
      <c r="K72" s="271"/>
      <c r="L72" s="289"/>
      <c r="M72" s="271"/>
      <c r="N72" s="271"/>
      <c r="O72" s="271"/>
      <c r="P72" s="271"/>
      <c r="Q72" s="37"/>
      <c r="R72" s="372"/>
      <c r="S72" s="372"/>
      <c r="T72" s="372"/>
    </row>
    <row r="73" spans="1:20">
      <c r="A73" s="231">
        <v>1021</v>
      </c>
      <c r="B73" s="4">
        <v>103134</v>
      </c>
      <c r="C73" s="4" t="s">
        <v>670</v>
      </c>
      <c r="D73" s="4" t="s">
        <v>671</v>
      </c>
      <c r="E73" s="213" t="s">
        <v>180</v>
      </c>
      <c r="F73" s="248" t="s">
        <v>411</v>
      </c>
      <c r="G73" s="37"/>
      <c r="H73" s="273">
        <v>0</v>
      </c>
      <c r="I73" s="273">
        <v>0</v>
      </c>
      <c r="J73" s="273">
        <v>0</v>
      </c>
      <c r="K73" s="273">
        <f>SUM(H73:J73)</f>
        <v>0</v>
      </c>
      <c r="L73" s="289"/>
      <c r="M73" s="273">
        <v>0</v>
      </c>
      <c r="N73" s="273">
        <v>0</v>
      </c>
      <c r="O73" s="273">
        <v>0</v>
      </c>
      <c r="P73" s="273">
        <f>SUM(M73:O73)</f>
        <v>0</v>
      </c>
      <c r="Q73" s="37"/>
      <c r="R73" s="369">
        <v>0</v>
      </c>
      <c r="S73" s="369">
        <v>0</v>
      </c>
      <c r="T73" s="369">
        <f t="shared" ref="T73:T136" si="4">R73+S73</f>
        <v>0</v>
      </c>
    </row>
    <row r="74" spans="1:20">
      <c r="A74" s="231">
        <v>1027</v>
      </c>
      <c r="B74" s="4">
        <v>103140</v>
      </c>
      <c r="C74" s="4" t="s">
        <v>410</v>
      </c>
      <c r="D74" s="4" t="s">
        <v>412</v>
      </c>
      <c r="E74" s="213" t="s">
        <v>180</v>
      </c>
      <c r="F74" s="248" t="s">
        <v>411</v>
      </c>
      <c r="G74" s="37"/>
      <c r="H74" s="273">
        <v>0</v>
      </c>
      <c r="I74" s="273">
        <v>0</v>
      </c>
      <c r="J74" s="273">
        <v>0</v>
      </c>
      <c r="K74" s="273">
        <f t="shared" ref="K74:K137" si="5">SUM(H74:J74)</f>
        <v>0</v>
      </c>
      <c r="L74" s="289"/>
      <c r="M74" s="273">
        <v>0</v>
      </c>
      <c r="N74" s="273">
        <v>0</v>
      </c>
      <c r="O74" s="273">
        <v>0</v>
      </c>
      <c r="P74" s="273">
        <f t="shared" ref="P74:P137" si="6">SUM(M74:O74)</f>
        <v>0</v>
      </c>
      <c r="Q74" s="37"/>
      <c r="R74" s="369">
        <v>0</v>
      </c>
      <c r="S74" s="369">
        <v>0</v>
      </c>
      <c r="T74" s="369">
        <f t="shared" si="4"/>
        <v>0</v>
      </c>
    </row>
    <row r="75" spans="1:20">
      <c r="A75" s="231">
        <v>1802</v>
      </c>
      <c r="B75" s="4">
        <v>103150</v>
      </c>
      <c r="C75" s="4" t="s">
        <v>451</v>
      </c>
      <c r="D75" s="4" t="s">
        <v>452</v>
      </c>
      <c r="E75" s="213" t="s">
        <v>180</v>
      </c>
      <c r="F75" s="248" t="s">
        <v>411</v>
      </c>
      <c r="G75" s="37"/>
      <c r="H75" s="273">
        <v>0</v>
      </c>
      <c r="I75" s="273">
        <v>0</v>
      </c>
      <c r="J75" s="273">
        <v>0</v>
      </c>
      <c r="K75" s="273">
        <f t="shared" si="5"/>
        <v>0</v>
      </c>
      <c r="L75" s="289"/>
      <c r="M75" s="273">
        <v>0</v>
      </c>
      <c r="N75" s="273">
        <v>0</v>
      </c>
      <c r="O75" s="273">
        <v>0</v>
      </c>
      <c r="P75" s="273">
        <f t="shared" si="6"/>
        <v>0</v>
      </c>
      <c r="Q75" s="37"/>
      <c r="R75" s="369">
        <v>0</v>
      </c>
      <c r="S75" s="369">
        <v>0</v>
      </c>
      <c r="T75" s="369">
        <f t="shared" si="4"/>
        <v>0</v>
      </c>
    </row>
    <row r="76" spans="1:20">
      <c r="A76" s="231">
        <v>5949</v>
      </c>
      <c r="B76" s="4">
        <v>131465</v>
      </c>
      <c r="C76" s="4" t="s">
        <v>580</v>
      </c>
      <c r="D76" s="4" t="s">
        <v>581</v>
      </c>
      <c r="E76" s="213" t="s">
        <v>5</v>
      </c>
      <c r="F76" s="248" t="s">
        <v>411</v>
      </c>
      <c r="G76" s="37"/>
      <c r="H76" s="273">
        <v>0</v>
      </c>
      <c r="I76" s="273">
        <v>0</v>
      </c>
      <c r="J76" s="273">
        <v>0</v>
      </c>
      <c r="K76" s="273">
        <f t="shared" si="5"/>
        <v>0</v>
      </c>
      <c r="L76" s="289"/>
      <c r="M76" s="273">
        <v>0</v>
      </c>
      <c r="N76" s="273">
        <v>0</v>
      </c>
      <c r="O76" s="273">
        <v>0</v>
      </c>
      <c r="P76" s="273">
        <f t="shared" si="6"/>
        <v>0</v>
      </c>
      <c r="Q76" s="37"/>
      <c r="R76" s="369">
        <v>0</v>
      </c>
      <c r="S76" s="369">
        <v>0</v>
      </c>
      <c r="T76" s="369">
        <f t="shared" si="4"/>
        <v>0</v>
      </c>
    </row>
    <row r="77" spans="1:20">
      <c r="A77" s="231">
        <v>2062</v>
      </c>
      <c r="B77" s="4">
        <v>103192</v>
      </c>
      <c r="C77" s="4" t="s">
        <v>583</v>
      </c>
      <c r="D77" s="4" t="s">
        <v>584</v>
      </c>
      <c r="E77" s="213" t="s">
        <v>5</v>
      </c>
      <c r="F77" s="248" t="s">
        <v>411</v>
      </c>
      <c r="G77" s="37"/>
      <c r="H77" s="273">
        <v>0</v>
      </c>
      <c r="I77" s="273">
        <v>0</v>
      </c>
      <c r="J77" s="273">
        <v>0</v>
      </c>
      <c r="K77" s="273">
        <f t="shared" si="5"/>
        <v>0</v>
      </c>
      <c r="L77" s="289"/>
      <c r="M77" s="273">
        <v>0</v>
      </c>
      <c r="N77" s="273">
        <v>0</v>
      </c>
      <c r="O77" s="273">
        <v>0</v>
      </c>
      <c r="P77" s="273">
        <f t="shared" si="6"/>
        <v>0</v>
      </c>
      <c r="Q77" s="37"/>
      <c r="R77" s="369">
        <v>0</v>
      </c>
      <c r="S77" s="369">
        <v>0</v>
      </c>
      <c r="T77" s="369">
        <f t="shared" si="4"/>
        <v>0</v>
      </c>
    </row>
    <row r="78" spans="1:20">
      <c r="A78" s="231">
        <v>2014</v>
      </c>
      <c r="B78" s="4">
        <v>103162</v>
      </c>
      <c r="C78" s="4" t="s">
        <v>586</v>
      </c>
      <c r="D78" s="4" t="s">
        <v>587</v>
      </c>
      <c r="E78" s="213" t="s">
        <v>5</v>
      </c>
      <c r="F78" s="248" t="s">
        <v>411</v>
      </c>
      <c r="G78" s="37"/>
      <c r="H78" s="273">
        <v>0</v>
      </c>
      <c r="I78" s="273">
        <v>0</v>
      </c>
      <c r="J78" s="273">
        <v>0</v>
      </c>
      <c r="K78" s="273">
        <f t="shared" si="5"/>
        <v>0</v>
      </c>
      <c r="L78" s="289"/>
      <c r="M78" s="273">
        <v>0</v>
      </c>
      <c r="N78" s="273">
        <v>0</v>
      </c>
      <c r="O78" s="273">
        <v>0</v>
      </c>
      <c r="P78" s="273">
        <f t="shared" si="6"/>
        <v>0</v>
      </c>
      <c r="Q78" s="37"/>
      <c r="R78" s="369">
        <v>0</v>
      </c>
      <c r="S78" s="369">
        <v>0</v>
      </c>
      <c r="T78" s="369">
        <f t="shared" si="4"/>
        <v>0</v>
      </c>
    </row>
    <row r="79" spans="1:20">
      <c r="A79" s="231">
        <v>7052</v>
      </c>
      <c r="B79" s="4">
        <v>103627</v>
      </c>
      <c r="C79" s="4" t="s">
        <v>589</v>
      </c>
      <c r="D79" s="4" t="s">
        <v>590</v>
      </c>
      <c r="E79" s="213" t="s">
        <v>1093</v>
      </c>
      <c r="F79" s="248" t="s">
        <v>411</v>
      </c>
      <c r="G79" s="37"/>
      <c r="H79" s="273">
        <v>1005006.64</v>
      </c>
      <c r="I79" s="273">
        <v>1360186.8947685843</v>
      </c>
      <c r="J79" s="273">
        <v>62040</v>
      </c>
      <c r="K79" s="273">
        <f t="shared" si="5"/>
        <v>2427233.5347685842</v>
      </c>
      <c r="L79" s="289"/>
      <c r="M79" s="273">
        <v>1005006.64</v>
      </c>
      <c r="N79" s="273">
        <v>1360186.8947685843</v>
      </c>
      <c r="O79" s="273">
        <v>62040</v>
      </c>
      <c r="P79" s="273">
        <f t="shared" si="6"/>
        <v>2427233.5347685842</v>
      </c>
      <c r="Q79" s="37"/>
      <c r="R79" s="369">
        <v>0</v>
      </c>
      <c r="S79" s="369">
        <v>0</v>
      </c>
      <c r="T79" s="369">
        <f t="shared" si="4"/>
        <v>0</v>
      </c>
    </row>
    <row r="80" spans="1:20">
      <c r="A80" s="231">
        <v>2017</v>
      </c>
      <c r="B80" s="4">
        <v>103164</v>
      </c>
      <c r="C80" s="4" t="s">
        <v>592</v>
      </c>
      <c r="D80" s="4" t="s">
        <v>593</v>
      </c>
      <c r="E80" s="213" t="s">
        <v>5</v>
      </c>
      <c r="F80" s="248" t="s">
        <v>411</v>
      </c>
      <c r="G80" s="37"/>
      <c r="H80" s="273">
        <v>0</v>
      </c>
      <c r="I80" s="273">
        <v>0</v>
      </c>
      <c r="J80" s="273">
        <v>0</v>
      </c>
      <c r="K80" s="273">
        <f t="shared" si="5"/>
        <v>0</v>
      </c>
      <c r="L80" s="289"/>
      <c r="M80" s="273">
        <v>0</v>
      </c>
      <c r="N80" s="273">
        <v>0</v>
      </c>
      <c r="O80" s="273">
        <v>0</v>
      </c>
      <c r="P80" s="273">
        <f t="shared" si="6"/>
        <v>0</v>
      </c>
      <c r="Q80" s="37"/>
      <c r="R80" s="369">
        <v>0</v>
      </c>
      <c r="S80" s="369">
        <v>0</v>
      </c>
      <c r="T80" s="369">
        <f t="shared" si="4"/>
        <v>0</v>
      </c>
    </row>
    <row r="81" spans="1:20">
      <c r="A81" s="231">
        <v>2016</v>
      </c>
      <c r="B81" s="4">
        <v>103163</v>
      </c>
      <c r="C81" s="4" t="s">
        <v>595</v>
      </c>
      <c r="D81" s="4" t="s">
        <v>596</v>
      </c>
      <c r="E81" s="213" t="s">
        <v>5</v>
      </c>
      <c r="F81" s="248" t="s">
        <v>411</v>
      </c>
      <c r="G81" s="37"/>
      <c r="H81" s="273">
        <v>0</v>
      </c>
      <c r="I81" s="273">
        <v>0</v>
      </c>
      <c r="J81" s="273">
        <v>0</v>
      </c>
      <c r="K81" s="273">
        <f t="shared" si="5"/>
        <v>0</v>
      </c>
      <c r="L81" s="289"/>
      <c r="M81" s="273">
        <v>0</v>
      </c>
      <c r="N81" s="273">
        <v>0</v>
      </c>
      <c r="O81" s="273">
        <v>0</v>
      </c>
      <c r="P81" s="273">
        <f t="shared" si="6"/>
        <v>0</v>
      </c>
      <c r="Q81" s="37"/>
      <c r="R81" s="369">
        <v>0</v>
      </c>
      <c r="S81" s="369">
        <v>0</v>
      </c>
      <c r="T81" s="369">
        <f t="shared" si="4"/>
        <v>0</v>
      </c>
    </row>
    <row r="82" spans="1:20">
      <c r="A82" s="231">
        <v>2241</v>
      </c>
      <c r="B82" s="4">
        <v>103291</v>
      </c>
      <c r="C82" s="4" t="s">
        <v>598</v>
      </c>
      <c r="D82" s="4" t="s">
        <v>599</v>
      </c>
      <c r="E82" s="213" t="s">
        <v>5</v>
      </c>
      <c r="F82" s="248" t="s">
        <v>411</v>
      </c>
      <c r="G82" s="37"/>
      <c r="H82" s="273">
        <v>0</v>
      </c>
      <c r="I82" s="273">
        <v>0</v>
      </c>
      <c r="J82" s="273">
        <v>0</v>
      </c>
      <c r="K82" s="273">
        <f t="shared" si="5"/>
        <v>0</v>
      </c>
      <c r="L82" s="289"/>
      <c r="M82" s="273">
        <v>0</v>
      </c>
      <c r="N82" s="273">
        <v>0</v>
      </c>
      <c r="O82" s="273">
        <v>0</v>
      </c>
      <c r="P82" s="273">
        <f t="shared" si="6"/>
        <v>0</v>
      </c>
      <c r="Q82" s="37"/>
      <c r="R82" s="369">
        <v>0</v>
      </c>
      <c r="S82" s="369">
        <v>0</v>
      </c>
      <c r="T82" s="369">
        <f t="shared" si="4"/>
        <v>0</v>
      </c>
    </row>
    <row r="83" spans="1:20">
      <c r="A83" s="231">
        <v>2456</v>
      </c>
      <c r="B83" s="4">
        <v>103383</v>
      </c>
      <c r="C83" s="4" t="s">
        <v>601</v>
      </c>
      <c r="D83" s="4" t="s">
        <v>602</v>
      </c>
      <c r="E83" s="213" t="s">
        <v>5</v>
      </c>
      <c r="F83" s="248" t="s">
        <v>411</v>
      </c>
      <c r="G83" s="37"/>
      <c r="H83" s="273">
        <v>0</v>
      </c>
      <c r="I83" s="273">
        <v>0</v>
      </c>
      <c r="J83" s="273">
        <v>0</v>
      </c>
      <c r="K83" s="273">
        <f t="shared" si="5"/>
        <v>0</v>
      </c>
      <c r="L83" s="289"/>
      <c r="M83" s="273">
        <v>0</v>
      </c>
      <c r="N83" s="273">
        <v>0</v>
      </c>
      <c r="O83" s="273">
        <v>0</v>
      </c>
      <c r="P83" s="273">
        <f t="shared" si="6"/>
        <v>0</v>
      </c>
      <c r="Q83" s="37"/>
      <c r="R83" s="369">
        <v>0</v>
      </c>
      <c r="S83" s="369">
        <v>0</v>
      </c>
      <c r="T83" s="369">
        <f t="shared" si="4"/>
        <v>0</v>
      </c>
    </row>
    <row r="84" spans="1:20">
      <c r="A84" s="231">
        <v>2254</v>
      </c>
      <c r="B84" s="4">
        <v>103300</v>
      </c>
      <c r="C84" s="4" t="s">
        <v>604</v>
      </c>
      <c r="D84" s="4" t="s">
        <v>605</v>
      </c>
      <c r="E84" s="213" t="s">
        <v>5</v>
      </c>
      <c r="F84" s="248" t="s">
        <v>411</v>
      </c>
      <c r="G84" s="37"/>
      <c r="H84" s="273">
        <v>0</v>
      </c>
      <c r="I84" s="273">
        <v>0</v>
      </c>
      <c r="J84" s="273">
        <v>0</v>
      </c>
      <c r="K84" s="273">
        <f t="shared" si="5"/>
        <v>0</v>
      </c>
      <c r="L84" s="289"/>
      <c r="M84" s="273">
        <v>0</v>
      </c>
      <c r="N84" s="273">
        <v>0</v>
      </c>
      <c r="O84" s="273">
        <v>0</v>
      </c>
      <c r="P84" s="273">
        <f t="shared" si="6"/>
        <v>0</v>
      </c>
      <c r="Q84" s="37"/>
      <c r="R84" s="369">
        <v>149124.99999999997</v>
      </c>
      <c r="S84" s="369">
        <v>94000</v>
      </c>
      <c r="T84" s="369">
        <f t="shared" si="4"/>
        <v>243124.99999999997</v>
      </c>
    </row>
    <row r="85" spans="1:20">
      <c r="A85" s="231">
        <v>1025</v>
      </c>
      <c r="B85" s="4">
        <v>103138</v>
      </c>
      <c r="C85" s="4" t="s">
        <v>607</v>
      </c>
      <c r="D85" s="4" t="s">
        <v>608</v>
      </c>
      <c r="E85" s="213" t="s">
        <v>180</v>
      </c>
      <c r="F85" s="248" t="s">
        <v>411</v>
      </c>
      <c r="G85" s="37"/>
      <c r="H85" s="273">
        <v>0</v>
      </c>
      <c r="I85" s="273">
        <v>0</v>
      </c>
      <c r="J85" s="273">
        <v>0</v>
      </c>
      <c r="K85" s="273">
        <f t="shared" si="5"/>
        <v>0</v>
      </c>
      <c r="L85" s="289"/>
      <c r="M85" s="273">
        <v>0</v>
      </c>
      <c r="N85" s="273">
        <v>0</v>
      </c>
      <c r="O85" s="273">
        <v>0</v>
      </c>
      <c r="P85" s="273">
        <f t="shared" si="6"/>
        <v>0</v>
      </c>
      <c r="Q85" s="37"/>
      <c r="R85" s="369">
        <v>0</v>
      </c>
      <c r="S85" s="369">
        <v>0</v>
      </c>
      <c r="T85" s="369">
        <f t="shared" si="4"/>
        <v>0</v>
      </c>
    </row>
    <row r="86" spans="1:20">
      <c r="A86" s="231">
        <v>3353</v>
      </c>
      <c r="B86" s="4">
        <v>103445</v>
      </c>
      <c r="C86" s="4" t="s">
        <v>610</v>
      </c>
      <c r="D86" s="4" t="s">
        <v>611</v>
      </c>
      <c r="E86" s="213" t="s">
        <v>5</v>
      </c>
      <c r="F86" s="248" t="s">
        <v>411</v>
      </c>
      <c r="G86" s="37"/>
      <c r="H86" s="273">
        <v>0</v>
      </c>
      <c r="I86" s="273">
        <v>0</v>
      </c>
      <c r="J86" s="273">
        <v>0</v>
      </c>
      <c r="K86" s="273">
        <f t="shared" si="5"/>
        <v>0</v>
      </c>
      <c r="L86" s="289"/>
      <c r="M86" s="273">
        <v>0</v>
      </c>
      <c r="N86" s="273">
        <v>0</v>
      </c>
      <c r="O86" s="273">
        <v>0</v>
      </c>
      <c r="P86" s="273">
        <f t="shared" si="6"/>
        <v>0</v>
      </c>
      <c r="Q86" s="37"/>
      <c r="R86" s="369">
        <v>0</v>
      </c>
      <c r="S86" s="369">
        <v>0</v>
      </c>
      <c r="T86" s="369">
        <f t="shared" si="4"/>
        <v>0</v>
      </c>
    </row>
    <row r="87" spans="1:20">
      <c r="A87" s="231">
        <v>1002</v>
      </c>
      <c r="B87" s="4">
        <v>103121</v>
      </c>
      <c r="C87" s="4" t="s">
        <v>613</v>
      </c>
      <c r="D87" s="4" t="s">
        <v>614</v>
      </c>
      <c r="E87" s="213" t="s">
        <v>180</v>
      </c>
      <c r="F87" s="248" t="s">
        <v>411</v>
      </c>
      <c r="G87" s="37"/>
      <c r="H87" s="273">
        <v>0</v>
      </c>
      <c r="I87" s="273">
        <v>0</v>
      </c>
      <c r="J87" s="273">
        <v>0</v>
      </c>
      <c r="K87" s="273">
        <f t="shared" si="5"/>
        <v>0</v>
      </c>
      <c r="L87" s="289"/>
      <c r="M87" s="273">
        <v>0</v>
      </c>
      <c r="N87" s="273">
        <v>0</v>
      </c>
      <c r="O87" s="273">
        <v>0</v>
      </c>
      <c r="P87" s="273">
        <f t="shared" si="6"/>
        <v>0</v>
      </c>
      <c r="Q87" s="37"/>
      <c r="R87" s="369">
        <v>0</v>
      </c>
      <c r="S87" s="369">
        <v>0</v>
      </c>
      <c r="T87" s="369">
        <f t="shared" si="4"/>
        <v>0</v>
      </c>
    </row>
    <row r="88" spans="1:20">
      <c r="A88" s="231">
        <v>1048</v>
      </c>
      <c r="B88" s="4">
        <v>103144</v>
      </c>
      <c r="C88" s="4" t="s">
        <v>616</v>
      </c>
      <c r="D88" s="4" t="s">
        <v>617</v>
      </c>
      <c r="E88" s="213" t="s">
        <v>180</v>
      </c>
      <c r="F88" s="248" t="s">
        <v>411</v>
      </c>
      <c r="G88" s="37"/>
      <c r="H88" s="273">
        <v>0</v>
      </c>
      <c r="I88" s="273">
        <v>0</v>
      </c>
      <c r="J88" s="273">
        <v>0</v>
      </c>
      <c r="K88" s="273">
        <f t="shared" si="5"/>
        <v>0</v>
      </c>
      <c r="L88" s="289"/>
      <c r="M88" s="273">
        <v>0</v>
      </c>
      <c r="N88" s="273">
        <v>0</v>
      </c>
      <c r="O88" s="273">
        <v>0</v>
      </c>
      <c r="P88" s="273">
        <f t="shared" si="6"/>
        <v>0</v>
      </c>
      <c r="Q88" s="37"/>
      <c r="R88" s="369">
        <v>0</v>
      </c>
      <c r="S88" s="369">
        <v>0</v>
      </c>
      <c r="T88" s="369">
        <f t="shared" si="4"/>
        <v>0</v>
      </c>
    </row>
    <row r="89" spans="1:20">
      <c r="A89" s="231">
        <v>2289</v>
      </c>
      <c r="B89" s="4">
        <v>103315</v>
      </c>
      <c r="C89" s="4" t="s">
        <v>619</v>
      </c>
      <c r="D89" s="4" t="s">
        <v>620</v>
      </c>
      <c r="E89" s="213" t="s">
        <v>5</v>
      </c>
      <c r="F89" s="248" t="s">
        <v>411</v>
      </c>
      <c r="G89" s="37"/>
      <c r="H89" s="273">
        <v>0</v>
      </c>
      <c r="I89" s="273">
        <v>0</v>
      </c>
      <c r="J89" s="273">
        <v>0</v>
      </c>
      <c r="K89" s="273">
        <f t="shared" si="5"/>
        <v>0</v>
      </c>
      <c r="L89" s="289"/>
      <c r="M89" s="273">
        <v>0</v>
      </c>
      <c r="N89" s="273">
        <v>0</v>
      </c>
      <c r="O89" s="273">
        <v>0</v>
      </c>
      <c r="P89" s="273">
        <f t="shared" si="6"/>
        <v>0</v>
      </c>
      <c r="Q89" s="37"/>
      <c r="R89" s="369">
        <v>0</v>
      </c>
      <c r="S89" s="369">
        <v>0</v>
      </c>
      <c r="T89" s="369">
        <f t="shared" si="4"/>
        <v>0</v>
      </c>
    </row>
    <row r="90" spans="1:20">
      <c r="A90" s="231">
        <v>3320</v>
      </c>
      <c r="B90" s="4">
        <v>103424</v>
      </c>
      <c r="C90" s="4" t="s">
        <v>622</v>
      </c>
      <c r="D90" s="4" t="s">
        <v>623</v>
      </c>
      <c r="E90" s="213" t="s">
        <v>5</v>
      </c>
      <c r="F90" s="248" t="s">
        <v>411</v>
      </c>
      <c r="G90" s="37"/>
      <c r="H90" s="273">
        <v>0</v>
      </c>
      <c r="I90" s="273">
        <v>0</v>
      </c>
      <c r="J90" s="273">
        <v>0</v>
      </c>
      <c r="K90" s="273">
        <f t="shared" si="5"/>
        <v>0</v>
      </c>
      <c r="L90" s="289"/>
      <c r="M90" s="273">
        <v>0</v>
      </c>
      <c r="N90" s="273">
        <v>0</v>
      </c>
      <c r="O90" s="273">
        <v>0</v>
      </c>
      <c r="P90" s="273">
        <f t="shared" si="6"/>
        <v>0</v>
      </c>
      <c r="Q90" s="37"/>
      <c r="R90" s="369">
        <v>0</v>
      </c>
      <c r="S90" s="369">
        <v>0</v>
      </c>
      <c r="T90" s="369">
        <f t="shared" si="4"/>
        <v>0</v>
      </c>
    </row>
    <row r="91" spans="1:20">
      <c r="A91" s="231">
        <v>2191</v>
      </c>
      <c r="B91" s="4">
        <v>103267</v>
      </c>
      <c r="C91" s="4" t="s">
        <v>625</v>
      </c>
      <c r="D91" s="4" t="s">
        <v>626</v>
      </c>
      <c r="E91" s="213" t="s">
        <v>5</v>
      </c>
      <c r="F91" s="248" t="s">
        <v>411</v>
      </c>
      <c r="G91" s="37"/>
      <c r="H91" s="273">
        <v>0</v>
      </c>
      <c r="I91" s="273">
        <v>0</v>
      </c>
      <c r="J91" s="273">
        <v>0</v>
      </c>
      <c r="K91" s="273">
        <f t="shared" si="5"/>
        <v>0</v>
      </c>
      <c r="L91" s="289"/>
      <c r="M91" s="273">
        <v>0</v>
      </c>
      <c r="N91" s="273">
        <v>0</v>
      </c>
      <c r="O91" s="273">
        <v>0</v>
      </c>
      <c r="P91" s="273">
        <f t="shared" si="6"/>
        <v>0</v>
      </c>
      <c r="Q91" s="37"/>
      <c r="R91" s="369">
        <v>0</v>
      </c>
      <c r="S91" s="369">
        <v>0</v>
      </c>
      <c r="T91" s="369">
        <f t="shared" si="4"/>
        <v>0</v>
      </c>
    </row>
    <row r="92" spans="1:20">
      <c r="A92" s="231">
        <v>2284</v>
      </c>
      <c r="B92" s="4">
        <v>103313</v>
      </c>
      <c r="C92" s="4" t="s">
        <v>628</v>
      </c>
      <c r="D92" s="4" t="s">
        <v>629</v>
      </c>
      <c r="E92" s="213" t="s">
        <v>5</v>
      </c>
      <c r="F92" s="248" t="s">
        <v>411</v>
      </c>
      <c r="G92" s="37"/>
      <c r="H92" s="273">
        <v>0</v>
      </c>
      <c r="I92" s="273">
        <v>0</v>
      </c>
      <c r="J92" s="273">
        <v>0</v>
      </c>
      <c r="K92" s="273">
        <f t="shared" si="5"/>
        <v>0</v>
      </c>
      <c r="L92" s="289"/>
      <c r="M92" s="273">
        <v>0</v>
      </c>
      <c r="N92" s="273">
        <v>0</v>
      </c>
      <c r="O92" s="273">
        <v>0</v>
      </c>
      <c r="P92" s="273">
        <f t="shared" si="6"/>
        <v>0</v>
      </c>
      <c r="Q92" s="37"/>
      <c r="R92" s="369">
        <v>0</v>
      </c>
      <c r="S92" s="369">
        <v>0</v>
      </c>
      <c r="T92" s="369">
        <f t="shared" si="4"/>
        <v>0</v>
      </c>
    </row>
    <row r="93" spans="1:20">
      <c r="A93" s="231">
        <v>1026</v>
      </c>
      <c r="B93" s="4">
        <v>103139</v>
      </c>
      <c r="C93" s="4" t="s">
        <v>631</v>
      </c>
      <c r="D93" s="4" t="s">
        <v>632</v>
      </c>
      <c r="E93" s="213" t="s">
        <v>180</v>
      </c>
      <c r="F93" s="248" t="s">
        <v>411</v>
      </c>
      <c r="G93" s="37"/>
      <c r="H93" s="273">
        <v>0</v>
      </c>
      <c r="I93" s="273">
        <v>0</v>
      </c>
      <c r="J93" s="273">
        <v>0</v>
      </c>
      <c r="K93" s="273">
        <f t="shared" si="5"/>
        <v>0</v>
      </c>
      <c r="L93" s="289"/>
      <c r="M93" s="273">
        <v>0</v>
      </c>
      <c r="N93" s="273">
        <v>0</v>
      </c>
      <c r="O93" s="273">
        <v>0</v>
      </c>
      <c r="P93" s="273">
        <f t="shared" si="6"/>
        <v>0</v>
      </c>
      <c r="Q93" s="37"/>
      <c r="R93" s="369">
        <v>0</v>
      </c>
      <c r="S93" s="369">
        <v>0</v>
      </c>
      <c r="T93" s="369">
        <f t="shared" si="4"/>
        <v>0</v>
      </c>
    </row>
    <row r="94" spans="1:20">
      <c r="A94" s="231">
        <v>2294</v>
      </c>
      <c r="B94" s="4">
        <v>103318</v>
      </c>
      <c r="C94" s="4" t="s">
        <v>634</v>
      </c>
      <c r="D94" s="4" t="s">
        <v>635</v>
      </c>
      <c r="E94" s="213" t="s">
        <v>5</v>
      </c>
      <c r="F94" s="248" t="s">
        <v>411</v>
      </c>
      <c r="G94" s="37"/>
      <c r="H94" s="273">
        <v>0</v>
      </c>
      <c r="I94" s="273">
        <v>0</v>
      </c>
      <c r="J94" s="273">
        <v>0</v>
      </c>
      <c r="K94" s="273">
        <f t="shared" si="5"/>
        <v>0</v>
      </c>
      <c r="L94" s="289"/>
      <c r="M94" s="273">
        <v>0</v>
      </c>
      <c r="N94" s="273">
        <v>0</v>
      </c>
      <c r="O94" s="273">
        <v>0</v>
      </c>
      <c r="P94" s="273">
        <f t="shared" si="6"/>
        <v>0</v>
      </c>
      <c r="Q94" s="37"/>
      <c r="R94" s="369">
        <v>0</v>
      </c>
      <c r="S94" s="369">
        <v>0</v>
      </c>
      <c r="T94" s="369">
        <f t="shared" si="4"/>
        <v>0</v>
      </c>
    </row>
    <row r="95" spans="1:20">
      <c r="A95" s="231">
        <v>1006</v>
      </c>
      <c r="B95" s="4">
        <v>103122</v>
      </c>
      <c r="C95" s="4" t="s">
        <v>637</v>
      </c>
      <c r="D95" s="4" t="s">
        <v>638</v>
      </c>
      <c r="E95" s="213" t="s">
        <v>180</v>
      </c>
      <c r="F95" s="248" t="s">
        <v>411</v>
      </c>
      <c r="G95" s="37"/>
      <c r="H95" s="273">
        <v>0</v>
      </c>
      <c r="I95" s="273">
        <v>0</v>
      </c>
      <c r="J95" s="273">
        <v>0</v>
      </c>
      <c r="K95" s="273">
        <f t="shared" si="5"/>
        <v>0</v>
      </c>
      <c r="L95" s="289"/>
      <c r="M95" s="273">
        <v>0</v>
      </c>
      <c r="N95" s="273">
        <v>0</v>
      </c>
      <c r="O95" s="273">
        <v>0</v>
      </c>
      <c r="P95" s="273">
        <f t="shared" si="6"/>
        <v>0</v>
      </c>
      <c r="Q95" s="37"/>
      <c r="R95" s="369">
        <v>18600</v>
      </c>
      <c r="S95" s="369">
        <v>60000</v>
      </c>
      <c r="T95" s="369">
        <f t="shared" si="4"/>
        <v>78600</v>
      </c>
    </row>
    <row r="96" spans="1:20">
      <c r="A96" s="231">
        <v>2079</v>
      </c>
      <c r="B96" s="4">
        <v>103200</v>
      </c>
      <c r="C96" s="4" t="s">
        <v>640</v>
      </c>
      <c r="D96" s="4" t="s">
        <v>641</v>
      </c>
      <c r="E96" s="213" t="s">
        <v>5</v>
      </c>
      <c r="F96" s="248" t="s">
        <v>411</v>
      </c>
      <c r="G96" s="37"/>
      <c r="H96" s="273">
        <v>0</v>
      </c>
      <c r="I96" s="273">
        <v>0</v>
      </c>
      <c r="J96" s="273">
        <v>0</v>
      </c>
      <c r="K96" s="273">
        <f t="shared" si="5"/>
        <v>0</v>
      </c>
      <c r="L96" s="289"/>
      <c r="M96" s="273">
        <v>0</v>
      </c>
      <c r="N96" s="273">
        <v>0</v>
      </c>
      <c r="O96" s="273">
        <v>0</v>
      </c>
      <c r="P96" s="273">
        <f t="shared" si="6"/>
        <v>0</v>
      </c>
      <c r="Q96" s="37"/>
      <c r="R96" s="369">
        <v>0</v>
      </c>
      <c r="S96" s="369">
        <v>0</v>
      </c>
      <c r="T96" s="369">
        <f t="shared" si="4"/>
        <v>0</v>
      </c>
    </row>
    <row r="97" spans="1:20">
      <c r="A97" s="231">
        <v>1015</v>
      </c>
      <c r="B97" s="4">
        <v>103128</v>
      </c>
      <c r="C97" s="4" t="s">
        <v>643</v>
      </c>
      <c r="D97" s="4" t="s">
        <v>644</v>
      </c>
      <c r="E97" s="213" t="s">
        <v>180</v>
      </c>
      <c r="F97" s="248" t="s">
        <v>411</v>
      </c>
      <c r="G97" s="37"/>
      <c r="H97" s="273">
        <v>0</v>
      </c>
      <c r="I97" s="273">
        <v>0</v>
      </c>
      <c r="J97" s="273">
        <v>0</v>
      </c>
      <c r="K97" s="273">
        <f t="shared" si="5"/>
        <v>0</v>
      </c>
      <c r="L97" s="289"/>
      <c r="M97" s="273">
        <v>0</v>
      </c>
      <c r="N97" s="273">
        <v>0</v>
      </c>
      <c r="O97" s="273">
        <v>0</v>
      </c>
      <c r="P97" s="273">
        <f t="shared" si="6"/>
        <v>0</v>
      </c>
      <c r="Q97" s="37"/>
      <c r="R97" s="369">
        <v>0</v>
      </c>
      <c r="S97" s="369">
        <v>0</v>
      </c>
      <c r="T97" s="369">
        <f t="shared" si="4"/>
        <v>0</v>
      </c>
    </row>
    <row r="98" spans="1:20">
      <c r="A98" s="231">
        <v>1022</v>
      </c>
      <c r="B98" s="4">
        <v>103135</v>
      </c>
      <c r="C98" s="4" t="s">
        <v>646</v>
      </c>
      <c r="D98" s="4" t="s">
        <v>647</v>
      </c>
      <c r="E98" s="213" t="s">
        <v>180</v>
      </c>
      <c r="F98" s="248" t="s">
        <v>411</v>
      </c>
      <c r="G98" s="37"/>
      <c r="H98" s="273">
        <v>0</v>
      </c>
      <c r="I98" s="273">
        <v>0</v>
      </c>
      <c r="J98" s="273">
        <v>0</v>
      </c>
      <c r="K98" s="273">
        <f t="shared" si="5"/>
        <v>0</v>
      </c>
      <c r="L98" s="289"/>
      <c r="M98" s="273">
        <v>0</v>
      </c>
      <c r="N98" s="273">
        <v>0</v>
      </c>
      <c r="O98" s="273">
        <v>0</v>
      </c>
      <c r="P98" s="273">
        <f t="shared" si="6"/>
        <v>0</v>
      </c>
      <c r="Q98" s="37"/>
      <c r="R98" s="369">
        <v>0</v>
      </c>
      <c r="S98" s="369">
        <v>0</v>
      </c>
      <c r="T98" s="369">
        <f t="shared" si="4"/>
        <v>0</v>
      </c>
    </row>
    <row r="99" spans="1:20">
      <c r="A99" s="231">
        <v>2087</v>
      </c>
      <c r="B99" s="4">
        <v>103205</v>
      </c>
      <c r="C99" s="4" t="s">
        <v>649</v>
      </c>
      <c r="D99" s="4" t="s">
        <v>650</v>
      </c>
      <c r="E99" s="213" t="s">
        <v>5</v>
      </c>
      <c r="F99" s="248" t="s">
        <v>411</v>
      </c>
      <c r="G99" s="37"/>
      <c r="H99" s="273">
        <v>0</v>
      </c>
      <c r="I99" s="273">
        <v>0</v>
      </c>
      <c r="J99" s="273">
        <v>0</v>
      </c>
      <c r="K99" s="273">
        <f t="shared" si="5"/>
        <v>0</v>
      </c>
      <c r="L99" s="289"/>
      <c r="M99" s="273">
        <v>0</v>
      </c>
      <c r="N99" s="273">
        <v>0</v>
      </c>
      <c r="O99" s="273">
        <v>0</v>
      </c>
      <c r="P99" s="273">
        <f t="shared" si="6"/>
        <v>0</v>
      </c>
      <c r="Q99" s="37"/>
      <c r="R99" s="369">
        <v>0</v>
      </c>
      <c r="S99" s="369">
        <v>0</v>
      </c>
      <c r="T99" s="369">
        <f t="shared" si="4"/>
        <v>0</v>
      </c>
    </row>
    <row r="100" spans="1:20">
      <c r="A100" s="231">
        <v>2466</v>
      </c>
      <c r="B100" s="4">
        <v>103392</v>
      </c>
      <c r="C100" s="4" t="s">
        <v>652</v>
      </c>
      <c r="D100" s="4" t="s">
        <v>653</v>
      </c>
      <c r="E100" s="213" t="s">
        <v>5</v>
      </c>
      <c r="F100" s="248" t="s">
        <v>411</v>
      </c>
      <c r="G100" s="37"/>
      <c r="H100" s="273">
        <v>0</v>
      </c>
      <c r="I100" s="273">
        <v>0</v>
      </c>
      <c r="J100" s="273">
        <v>0</v>
      </c>
      <c r="K100" s="273">
        <f t="shared" si="5"/>
        <v>0</v>
      </c>
      <c r="L100" s="289"/>
      <c r="M100" s="273">
        <v>0</v>
      </c>
      <c r="N100" s="273">
        <v>0</v>
      </c>
      <c r="O100" s="273">
        <v>0</v>
      </c>
      <c r="P100" s="273">
        <f t="shared" si="6"/>
        <v>0</v>
      </c>
      <c r="Q100" s="37"/>
      <c r="R100" s="369">
        <v>0</v>
      </c>
      <c r="S100" s="369">
        <v>0</v>
      </c>
      <c r="T100" s="369">
        <f t="shared" si="4"/>
        <v>0</v>
      </c>
    </row>
    <row r="101" spans="1:20">
      <c r="A101" s="231">
        <v>2091</v>
      </c>
      <c r="B101" s="4">
        <v>103208</v>
      </c>
      <c r="C101" s="4" t="s">
        <v>655</v>
      </c>
      <c r="D101" s="4" t="s">
        <v>656</v>
      </c>
      <c r="E101" s="213" t="s">
        <v>5</v>
      </c>
      <c r="F101" s="248" t="s">
        <v>411</v>
      </c>
      <c r="G101" s="37"/>
      <c r="H101" s="273">
        <v>0</v>
      </c>
      <c r="I101" s="273">
        <v>0</v>
      </c>
      <c r="J101" s="273">
        <v>0</v>
      </c>
      <c r="K101" s="273">
        <f t="shared" si="5"/>
        <v>0</v>
      </c>
      <c r="L101" s="289"/>
      <c r="M101" s="273">
        <v>0</v>
      </c>
      <c r="N101" s="273">
        <v>0</v>
      </c>
      <c r="O101" s="273">
        <v>0</v>
      </c>
      <c r="P101" s="273">
        <f t="shared" si="6"/>
        <v>0</v>
      </c>
      <c r="Q101" s="37"/>
      <c r="R101" s="369">
        <v>0</v>
      </c>
      <c r="S101" s="369">
        <v>0</v>
      </c>
      <c r="T101" s="369">
        <f t="shared" si="4"/>
        <v>0</v>
      </c>
    </row>
    <row r="102" spans="1:20">
      <c r="A102" s="231">
        <v>7006</v>
      </c>
      <c r="B102" s="4">
        <v>103600</v>
      </c>
      <c r="C102" s="4" t="s">
        <v>658</v>
      </c>
      <c r="D102" s="4" t="s">
        <v>659</v>
      </c>
      <c r="E102" s="213" t="s">
        <v>1093</v>
      </c>
      <c r="F102" s="248" t="s">
        <v>411</v>
      </c>
      <c r="G102" s="37"/>
      <c r="H102" s="273">
        <v>1764107.4000000001</v>
      </c>
      <c r="I102" s="273">
        <v>1989866.1085748593</v>
      </c>
      <c r="J102" s="273">
        <v>108900</v>
      </c>
      <c r="K102" s="273">
        <f t="shared" si="5"/>
        <v>3862873.5085748592</v>
      </c>
      <c r="L102" s="289"/>
      <c r="M102" s="273">
        <v>1764107.4000000001</v>
      </c>
      <c r="N102" s="273">
        <v>2242246.1085748593</v>
      </c>
      <c r="O102" s="273">
        <v>108900</v>
      </c>
      <c r="P102" s="273">
        <f t="shared" si="6"/>
        <v>4115253.5085748592</v>
      </c>
      <c r="Q102" s="37"/>
      <c r="R102" s="369">
        <v>0</v>
      </c>
      <c r="S102" s="369">
        <v>0</v>
      </c>
      <c r="T102" s="369">
        <f t="shared" si="4"/>
        <v>0</v>
      </c>
    </row>
    <row r="103" spans="1:20">
      <c r="A103" s="231">
        <v>2477</v>
      </c>
      <c r="B103" s="4">
        <v>132261</v>
      </c>
      <c r="C103" s="4" t="s">
        <v>661</v>
      </c>
      <c r="D103" s="4" t="s">
        <v>662</v>
      </c>
      <c r="E103" s="213" t="s">
        <v>5</v>
      </c>
      <c r="F103" s="248" t="s">
        <v>411</v>
      </c>
      <c r="G103" s="37"/>
      <c r="H103" s="273">
        <v>0</v>
      </c>
      <c r="I103" s="273">
        <v>0</v>
      </c>
      <c r="J103" s="273">
        <v>0</v>
      </c>
      <c r="K103" s="273">
        <f t="shared" si="5"/>
        <v>0</v>
      </c>
      <c r="L103" s="289"/>
      <c r="M103" s="273">
        <v>0</v>
      </c>
      <c r="N103" s="273">
        <v>0</v>
      </c>
      <c r="O103" s="273">
        <v>0</v>
      </c>
      <c r="P103" s="273">
        <f t="shared" si="6"/>
        <v>0</v>
      </c>
      <c r="Q103" s="37"/>
      <c r="R103" s="369">
        <v>0</v>
      </c>
      <c r="S103" s="369">
        <v>0</v>
      </c>
      <c r="T103" s="369">
        <f t="shared" si="4"/>
        <v>0</v>
      </c>
    </row>
    <row r="104" spans="1:20">
      <c r="A104" s="231">
        <v>3436</v>
      </c>
      <c r="B104" s="4">
        <v>136440</v>
      </c>
      <c r="C104" s="4" t="s">
        <v>664</v>
      </c>
      <c r="D104" s="4" t="s">
        <v>665</v>
      </c>
      <c r="E104" s="213" t="s">
        <v>5</v>
      </c>
      <c r="F104" s="248" t="s">
        <v>411</v>
      </c>
      <c r="G104" s="37"/>
      <c r="H104" s="273">
        <v>0</v>
      </c>
      <c r="I104" s="273">
        <v>0</v>
      </c>
      <c r="J104" s="273">
        <v>0</v>
      </c>
      <c r="K104" s="273">
        <f t="shared" si="5"/>
        <v>0</v>
      </c>
      <c r="L104" s="289"/>
      <c r="M104" s="273">
        <v>0</v>
      </c>
      <c r="N104" s="273">
        <v>0</v>
      </c>
      <c r="O104" s="273">
        <v>0</v>
      </c>
      <c r="P104" s="273">
        <f t="shared" si="6"/>
        <v>0</v>
      </c>
      <c r="Q104" s="37"/>
      <c r="R104" s="369">
        <v>0</v>
      </c>
      <c r="S104" s="369">
        <v>0</v>
      </c>
      <c r="T104" s="369">
        <f t="shared" si="4"/>
        <v>0</v>
      </c>
    </row>
    <row r="105" spans="1:20">
      <c r="A105" s="231">
        <v>1010</v>
      </c>
      <c r="B105" s="4">
        <v>103125</v>
      </c>
      <c r="C105" s="4" t="s">
        <v>667</v>
      </c>
      <c r="D105" s="4" t="s">
        <v>668</v>
      </c>
      <c r="E105" s="213" t="s">
        <v>180</v>
      </c>
      <c r="F105" s="248" t="s">
        <v>411</v>
      </c>
      <c r="G105" s="37"/>
      <c r="H105" s="273">
        <v>0</v>
      </c>
      <c r="I105" s="273">
        <v>0</v>
      </c>
      <c r="J105" s="273">
        <v>0</v>
      </c>
      <c r="K105" s="273">
        <f t="shared" si="5"/>
        <v>0</v>
      </c>
      <c r="L105" s="289"/>
      <c r="M105" s="273">
        <v>0</v>
      </c>
      <c r="N105" s="273">
        <v>0</v>
      </c>
      <c r="O105" s="273">
        <v>0</v>
      </c>
      <c r="P105" s="273">
        <f t="shared" si="6"/>
        <v>0</v>
      </c>
      <c r="Q105" s="37"/>
      <c r="R105" s="369">
        <v>0</v>
      </c>
      <c r="S105" s="369">
        <v>0</v>
      </c>
      <c r="T105" s="369">
        <f t="shared" si="4"/>
        <v>0</v>
      </c>
    </row>
    <row r="106" spans="1:20">
      <c r="A106" s="231">
        <v>3411</v>
      </c>
      <c r="B106" s="4">
        <v>103479</v>
      </c>
      <c r="C106" s="4" t="s">
        <v>673</v>
      </c>
      <c r="D106" s="4" t="s">
        <v>674</v>
      </c>
      <c r="E106" s="213" t="s">
        <v>5</v>
      </c>
      <c r="F106" s="248" t="s">
        <v>411</v>
      </c>
      <c r="G106" s="37"/>
      <c r="H106" s="273">
        <v>0</v>
      </c>
      <c r="I106" s="273">
        <v>0</v>
      </c>
      <c r="J106" s="273">
        <v>0</v>
      </c>
      <c r="K106" s="273">
        <f t="shared" si="5"/>
        <v>0</v>
      </c>
      <c r="L106" s="289"/>
      <c r="M106" s="273">
        <v>0</v>
      </c>
      <c r="N106" s="273">
        <v>0</v>
      </c>
      <c r="O106" s="273">
        <v>0</v>
      </c>
      <c r="P106" s="273">
        <f t="shared" si="6"/>
        <v>0</v>
      </c>
      <c r="Q106" s="37"/>
      <c r="R106" s="369">
        <v>0</v>
      </c>
      <c r="S106" s="369">
        <v>0</v>
      </c>
      <c r="T106" s="369">
        <f t="shared" si="4"/>
        <v>0</v>
      </c>
    </row>
    <row r="107" spans="1:20">
      <c r="A107" s="231">
        <v>2474</v>
      </c>
      <c r="B107" s="4">
        <v>131672</v>
      </c>
      <c r="C107" s="4" t="s">
        <v>676</v>
      </c>
      <c r="D107" s="4" t="s">
        <v>677</v>
      </c>
      <c r="E107" s="213" t="s">
        <v>5</v>
      </c>
      <c r="F107" s="248" t="s">
        <v>411</v>
      </c>
      <c r="G107" s="37"/>
      <c r="H107" s="273">
        <v>0</v>
      </c>
      <c r="I107" s="273">
        <v>0</v>
      </c>
      <c r="J107" s="273">
        <v>0</v>
      </c>
      <c r="K107" s="273">
        <f t="shared" si="5"/>
        <v>0</v>
      </c>
      <c r="L107" s="289"/>
      <c r="M107" s="273">
        <v>0</v>
      </c>
      <c r="N107" s="273">
        <v>0</v>
      </c>
      <c r="O107" s="273">
        <v>0</v>
      </c>
      <c r="P107" s="273">
        <f t="shared" si="6"/>
        <v>0</v>
      </c>
      <c r="Q107" s="37"/>
      <c r="R107" s="369">
        <v>0</v>
      </c>
      <c r="S107" s="369">
        <v>0</v>
      </c>
      <c r="T107" s="369">
        <f t="shared" si="4"/>
        <v>0</v>
      </c>
    </row>
    <row r="108" spans="1:20">
      <c r="A108" s="231">
        <v>3317</v>
      </c>
      <c r="B108" s="4">
        <v>103421</v>
      </c>
      <c r="C108" s="4" t="s">
        <v>679</v>
      </c>
      <c r="D108" s="4" t="s">
        <v>161</v>
      </c>
      <c r="E108" s="213" t="s">
        <v>5</v>
      </c>
      <c r="F108" s="248" t="s">
        <v>411</v>
      </c>
      <c r="G108" s="37"/>
      <c r="H108" s="273">
        <v>0</v>
      </c>
      <c r="I108" s="273">
        <v>0</v>
      </c>
      <c r="J108" s="273">
        <v>0</v>
      </c>
      <c r="K108" s="273">
        <f t="shared" si="5"/>
        <v>0</v>
      </c>
      <c r="L108" s="289"/>
      <c r="M108" s="273">
        <v>0</v>
      </c>
      <c r="N108" s="273">
        <v>0</v>
      </c>
      <c r="O108" s="273">
        <v>0</v>
      </c>
      <c r="P108" s="273">
        <f t="shared" si="6"/>
        <v>0</v>
      </c>
      <c r="Q108" s="37"/>
      <c r="R108" s="369">
        <v>0</v>
      </c>
      <c r="S108" s="369">
        <v>0</v>
      </c>
      <c r="T108" s="369">
        <f t="shared" si="4"/>
        <v>0</v>
      </c>
    </row>
    <row r="109" spans="1:20">
      <c r="A109" s="231">
        <v>1023</v>
      </c>
      <c r="B109" s="4">
        <v>103136</v>
      </c>
      <c r="C109" s="4" t="s">
        <v>681</v>
      </c>
      <c r="D109" s="4" t="s">
        <v>682</v>
      </c>
      <c r="E109" s="213" t="s">
        <v>180</v>
      </c>
      <c r="F109" s="248" t="s">
        <v>411</v>
      </c>
      <c r="G109" s="37"/>
      <c r="H109" s="273">
        <v>0</v>
      </c>
      <c r="I109" s="273">
        <v>0</v>
      </c>
      <c r="J109" s="273">
        <v>0</v>
      </c>
      <c r="K109" s="273">
        <f t="shared" si="5"/>
        <v>0</v>
      </c>
      <c r="L109" s="289"/>
      <c r="M109" s="273">
        <v>0</v>
      </c>
      <c r="N109" s="273">
        <v>0</v>
      </c>
      <c r="O109" s="273">
        <v>0</v>
      </c>
      <c r="P109" s="273">
        <f t="shared" si="6"/>
        <v>0</v>
      </c>
      <c r="Q109" s="37"/>
      <c r="R109" s="369">
        <v>0</v>
      </c>
      <c r="S109" s="369">
        <v>0</v>
      </c>
      <c r="T109" s="369">
        <f t="shared" si="4"/>
        <v>0</v>
      </c>
    </row>
    <row r="110" spans="1:20">
      <c r="A110" s="231">
        <v>3352</v>
      </c>
      <c r="B110" s="4">
        <v>103444</v>
      </c>
      <c r="C110" s="4" t="s">
        <v>684</v>
      </c>
      <c r="D110" s="4" t="s">
        <v>685</v>
      </c>
      <c r="E110" s="213" t="s">
        <v>5</v>
      </c>
      <c r="F110" s="248" t="s">
        <v>411</v>
      </c>
      <c r="G110" s="37"/>
      <c r="H110" s="273">
        <v>0</v>
      </c>
      <c r="I110" s="273">
        <v>0</v>
      </c>
      <c r="J110" s="273">
        <v>0</v>
      </c>
      <c r="K110" s="273">
        <f t="shared" si="5"/>
        <v>0</v>
      </c>
      <c r="L110" s="289"/>
      <c r="M110" s="273">
        <v>0</v>
      </c>
      <c r="N110" s="273">
        <v>0</v>
      </c>
      <c r="O110" s="273">
        <v>0</v>
      </c>
      <c r="P110" s="273">
        <f t="shared" si="6"/>
        <v>0</v>
      </c>
      <c r="Q110" s="37"/>
      <c r="R110" s="369">
        <v>0</v>
      </c>
      <c r="S110" s="369">
        <v>0</v>
      </c>
      <c r="T110" s="369">
        <f t="shared" si="4"/>
        <v>0</v>
      </c>
    </row>
    <row r="111" spans="1:20">
      <c r="A111" s="231">
        <v>2005</v>
      </c>
      <c r="B111" s="4">
        <v>134098</v>
      </c>
      <c r="C111" s="4" t="s">
        <v>690</v>
      </c>
      <c r="D111" s="4" t="s">
        <v>691</v>
      </c>
      <c r="E111" s="213" t="s">
        <v>5</v>
      </c>
      <c r="F111" s="248" t="s">
        <v>411</v>
      </c>
      <c r="G111" s="37"/>
      <c r="H111" s="273">
        <v>0</v>
      </c>
      <c r="I111" s="273">
        <v>0</v>
      </c>
      <c r="J111" s="273">
        <v>0</v>
      </c>
      <c r="K111" s="273">
        <f t="shared" si="5"/>
        <v>0</v>
      </c>
      <c r="L111" s="289"/>
      <c r="M111" s="273">
        <v>0</v>
      </c>
      <c r="N111" s="273">
        <v>0</v>
      </c>
      <c r="O111" s="273">
        <v>0</v>
      </c>
      <c r="P111" s="273">
        <f t="shared" si="6"/>
        <v>0</v>
      </c>
      <c r="Q111" s="37"/>
      <c r="R111" s="369">
        <v>33161.75584615385</v>
      </c>
      <c r="S111" s="369">
        <v>18000</v>
      </c>
      <c r="T111" s="369">
        <f t="shared" si="4"/>
        <v>51161.75584615385</v>
      </c>
    </row>
    <row r="112" spans="1:20">
      <c r="A112" s="231">
        <v>1016</v>
      </c>
      <c r="B112" s="4">
        <v>103129</v>
      </c>
      <c r="C112" s="4" t="s">
        <v>693</v>
      </c>
      <c r="D112" s="4" t="s">
        <v>694</v>
      </c>
      <c r="E112" s="213" t="s">
        <v>180</v>
      </c>
      <c r="F112" s="248" t="s">
        <v>411</v>
      </c>
      <c r="G112" s="37"/>
      <c r="H112" s="273">
        <v>0</v>
      </c>
      <c r="I112" s="273">
        <v>0</v>
      </c>
      <c r="J112" s="273">
        <v>0</v>
      </c>
      <c r="K112" s="273">
        <f t="shared" si="5"/>
        <v>0</v>
      </c>
      <c r="L112" s="289"/>
      <c r="M112" s="273">
        <v>0</v>
      </c>
      <c r="N112" s="273">
        <v>0</v>
      </c>
      <c r="O112" s="273">
        <v>0</v>
      </c>
      <c r="P112" s="273">
        <f t="shared" si="6"/>
        <v>0</v>
      </c>
      <c r="Q112" s="37"/>
      <c r="R112" s="369">
        <v>0</v>
      </c>
      <c r="S112" s="369">
        <v>0</v>
      </c>
      <c r="T112" s="369">
        <f t="shared" si="4"/>
        <v>0</v>
      </c>
    </row>
    <row r="113" spans="1:20">
      <c r="A113" s="231">
        <v>2115</v>
      </c>
      <c r="B113" s="4">
        <v>103221</v>
      </c>
      <c r="C113" s="4" t="s">
        <v>696</v>
      </c>
      <c r="D113" s="4" t="s">
        <v>697</v>
      </c>
      <c r="E113" s="213" t="s">
        <v>5</v>
      </c>
      <c r="F113" s="248" t="s">
        <v>411</v>
      </c>
      <c r="G113" s="37"/>
      <c r="H113" s="273">
        <v>0</v>
      </c>
      <c r="I113" s="273">
        <v>0</v>
      </c>
      <c r="J113" s="273">
        <v>0</v>
      </c>
      <c r="K113" s="273">
        <f t="shared" si="5"/>
        <v>0</v>
      </c>
      <c r="L113" s="289"/>
      <c r="M113" s="273">
        <v>0</v>
      </c>
      <c r="N113" s="273">
        <v>0</v>
      </c>
      <c r="O113" s="273">
        <v>0</v>
      </c>
      <c r="P113" s="273">
        <f t="shared" si="6"/>
        <v>0</v>
      </c>
      <c r="Q113" s="37"/>
      <c r="R113" s="369">
        <v>0</v>
      </c>
      <c r="S113" s="369">
        <v>0</v>
      </c>
      <c r="T113" s="369">
        <f t="shared" si="4"/>
        <v>0</v>
      </c>
    </row>
    <row r="114" spans="1:20">
      <c r="A114" s="231">
        <v>2441</v>
      </c>
      <c r="B114" s="4">
        <v>103368</v>
      </c>
      <c r="C114" s="4" t="s">
        <v>699</v>
      </c>
      <c r="D114" s="4" t="s">
        <v>700</v>
      </c>
      <c r="E114" s="213" t="s">
        <v>5</v>
      </c>
      <c r="F114" s="248" t="s">
        <v>411</v>
      </c>
      <c r="G114" s="37"/>
      <c r="H114" s="273">
        <v>0</v>
      </c>
      <c r="I114" s="273">
        <v>0</v>
      </c>
      <c r="J114" s="273">
        <v>0</v>
      </c>
      <c r="K114" s="273">
        <f t="shared" si="5"/>
        <v>0</v>
      </c>
      <c r="L114" s="289"/>
      <c r="M114" s="273">
        <v>0</v>
      </c>
      <c r="N114" s="273">
        <v>0</v>
      </c>
      <c r="O114" s="273">
        <v>0</v>
      </c>
      <c r="P114" s="273">
        <f t="shared" si="6"/>
        <v>0</v>
      </c>
      <c r="Q114" s="37"/>
      <c r="R114" s="369">
        <v>0</v>
      </c>
      <c r="S114" s="369">
        <v>0</v>
      </c>
      <c r="T114" s="369">
        <f t="shared" si="4"/>
        <v>0</v>
      </c>
    </row>
    <row r="115" spans="1:20">
      <c r="A115" s="231">
        <v>2321</v>
      </c>
      <c r="B115" s="4">
        <v>103339</v>
      </c>
      <c r="C115" s="4" t="s">
        <v>702</v>
      </c>
      <c r="D115" s="4" t="s">
        <v>863</v>
      </c>
      <c r="E115" s="213" t="s">
        <v>5</v>
      </c>
      <c r="F115" s="248" t="s">
        <v>411</v>
      </c>
      <c r="G115" s="37"/>
      <c r="H115" s="273">
        <v>0</v>
      </c>
      <c r="I115" s="273">
        <v>0</v>
      </c>
      <c r="J115" s="273">
        <v>0</v>
      </c>
      <c r="K115" s="273">
        <f t="shared" si="5"/>
        <v>0</v>
      </c>
      <c r="L115" s="289"/>
      <c r="M115" s="273">
        <v>0</v>
      </c>
      <c r="N115" s="273">
        <v>0</v>
      </c>
      <c r="O115" s="273">
        <v>0</v>
      </c>
      <c r="P115" s="273">
        <f t="shared" si="6"/>
        <v>0</v>
      </c>
      <c r="Q115" s="37"/>
      <c r="R115" s="369">
        <v>0</v>
      </c>
      <c r="S115" s="369">
        <v>0</v>
      </c>
      <c r="T115" s="369">
        <f t="shared" si="4"/>
        <v>0</v>
      </c>
    </row>
    <row r="116" spans="1:20">
      <c r="A116" s="231">
        <v>1024</v>
      </c>
      <c r="B116" s="4">
        <v>103137</v>
      </c>
      <c r="C116" s="4" t="s">
        <v>705</v>
      </c>
      <c r="D116" s="4" t="s">
        <v>706</v>
      </c>
      <c r="E116" s="213" t="s">
        <v>180</v>
      </c>
      <c r="F116" s="248" t="s">
        <v>411</v>
      </c>
      <c r="G116" s="37"/>
      <c r="H116" s="273">
        <v>0</v>
      </c>
      <c r="I116" s="273">
        <v>0</v>
      </c>
      <c r="J116" s="273">
        <v>0</v>
      </c>
      <c r="K116" s="273">
        <f t="shared" si="5"/>
        <v>0</v>
      </c>
      <c r="L116" s="289"/>
      <c r="M116" s="273">
        <v>0</v>
      </c>
      <c r="N116" s="273">
        <v>0</v>
      </c>
      <c r="O116" s="273">
        <v>0</v>
      </c>
      <c r="P116" s="273">
        <f t="shared" si="6"/>
        <v>0</v>
      </c>
      <c r="Q116" s="37"/>
      <c r="R116" s="369">
        <v>0</v>
      </c>
      <c r="S116" s="369">
        <v>0</v>
      </c>
      <c r="T116" s="369">
        <f t="shared" si="4"/>
        <v>0</v>
      </c>
    </row>
    <row r="117" spans="1:20">
      <c r="A117" s="231">
        <v>7062</v>
      </c>
      <c r="B117" s="4">
        <v>103632</v>
      </c>
      <c r="C117" s="4" t="s">
        <v>708</v>
      </c>
      <c r="D117" s="4" t="s">
        <v>709</v>
      </c>
      <c r="E117" s="213" t="s">
        <v>1093</v>
      </c>
      <c r="F117" s="248" t="s">
        <v>411</v>
      </c>
      <c r="G117" s="37"/>
      <c r="H117" s="273">
        <v>1496818.4000000001</v>
      </c>
      <c r="I117" s="273">
        <v>2563623.2647484015</v>
      </c>
      <c r="J117" s="273">
        <v>92400</v>
      </c>
      <c r="K117" s="273">
        <f t="shared" si="5"/>
        <v>4152841.6647484014</v>
      </c>
      <c r="L117" s="289"/>
      <c r="M117" s="273">
        <v>1496818.4000000001</v>
      </c>
      <c r="N117" s="273">
        <v>2563623.2647484015</v>
      </c>
      <c r="O117" s="273">
        <v>92400</v>
      </c>
      <c r="P117" s="273">
        <f t="shared" si="6"/>
        <v>4152841.6647484014</v>
      </c>
      <c r="Q117" s="37"/>
      <c r="R117" s="369">
        <v>0</v>
      </c>
      <c r="S117" s="369">
        <v>0</v>
      </c>
      <c r="T117" s="369">
        <f t="shared" si="4"/>
        <v>0</v>
      </c>
    </row>
    <row r="118" spans="1:20">
      <c r="A118" s="231">
        <v>2004</v>
      </c>
      <c r="B118" s="4">
        <v>134094</v>
      </c>
      <c r="C118" s="4" t="s">
        <v>711</v>
      </c>
      <c r="D118" s="4" t="s">
        <v>712</v>
      </c>
      <c r="E118" s="213" t="s">
        <v>5</v>
      </c>
      <c r="F118" s="248" t="s">
        <v>411</v>
      </c>
      <c r="G118" s="37"/>
      <c r="H118" s="273">
        <v>0</v>
      </c>
      <c r="I118" s="273">
        <v>0</v>
      </c>
      <c r="J118" s="273">
        <v>0</v>
      </c>
      <c r="K118" s="273">
        <f t="shared" si="5"/>
        <v>0</v>
      </c>
      <c r="L118" s="289"/>
      <c r="M118" s="273">
        <v>0</v>
      </c>
      <c r="N118" s="273">
        <v>0</v>
      </c>
      <c r="O118" s="273">
        <v>0</v>
      </c>
      <c r="P118" s="273">
        <f t="shared" si="6"/>
        <v>0</v>
      </c>
      <c r="Q118" s="37"/>
      <c r="R118" s="369">
        <v>0</v>
      </c>
      <c r="S118" s="369">
        <v>0</v>
      </c>
      <c r="T118" s="369">
        <f t="shared" si="4"/>
        <v>0</v>
      </c>
    </row>
    <row r="119" spans="1:20">
      <c r="A119" s="231">
        <v>1012</v>
      </c>
      <c r="B119" s="4">
        <v>103126</v>
      </c>
      <c r="C119" s="4" t="s">
        <v>714</v>
      </c>
      <c r="D119" s="4" t="s">
        <v>715</v>
      </c>
      <c r="E119" s="213" t="s">
        <v>180</v>
      </c>
      <c r="F119" s="248" t="s">
        <v>411</v>
      </c>
      <c r="G119" s="37"/>
      <c r="H119" s="273">
        <v>0</v>
      </c>
      <c r="I119" s="273">
        <v>0</v>
      </c>
      <c r="J119" s="273">
        <v>0</v>
      </c>
      <c r="K119" s="273">
        <f t="shared" si="5"/>
        <v>0</v>
      </c>
      <c r="L119" s="289"/>
      <c r="M119" s="273">
        <v>0</v>
      </c>
      <c r="N119" s="273">
        <v>0</v>
      </c>
      <c r="O119" s="273">
        <v>0</v>
      </c>
      <c r="P119" s="273">
        <f t="shared" si="6"/>
        <v>0</v>
      </c>
      <c r="Q119" s="37"/>
      <c r="R119" s="369">
        <v>0</v>
      </c>
      <c r="S119" s="369">
        <v>0</v>
      </c>
      <c r="T119" s="369">
        <f t="shared" si="4"/>
        <v>0</v>
      </c>
    </row>
    <row r="120" spans="1:20">
      <c r="A120" s="231">
        <v>3003</v>
      </c>
      <c r="B120" s="4">
        <v>103398</v>
      </c>
      <c r="C120" s="4" t="s">
        <v>717</v>
      </c>
      <c r="D120" s="4" t="s">
        <v>718</v>
      </c>
      <c r="E120" s="213" t="s">
        <v>5</v>
      </c>
      <c r="F120" s="248" t="s">
        <v>411</v>
      </c>
      <c r="G120" s="37"/>
      <c r="H120" s="273">
        <v>0</v>
      </c>
      <c r="I120" s="273">
        <v>0</v>
      </c>
      <c r="J120" s="273">
        <v>0</v>
      </c>
      <c r="K120" s="273">
        <f t="shared" si="5"/>
        <v>0</v>
      </c>
      <c r="L120" s="289"/>
      <c r="M120" s="273">
        <v>0</v>
      </c>
      <c r="N120" s="273">
        <v>0</v>
      </c>
      <c r="O120" s="273">
        <v>0</v>
      </c>
      <c r="P120" s="273">
        <f t="shared" si="6"/>
        <v>0</v>
      </c>
      <c r="Q120" s="37"/>
      <c r="R120" s="369">
        <v>0</v>
      </c>
      <c r="S120" s="369">
        <v>0</v>
      </c>
      <c r="T120" s="369">
        <f t="shared" si="4"/>
        <v>0</v>
      </c>
    </row>
    <row r="121" spans="1:20">
      <c r="A121" s="231">
        <v>2457</v>
      </c>
      <c r="B121" s="4">
        <v>103384</v>
      </c>
      <c r="C121" s="4" t="s">
        <v>720</v>
      </c>
      <c r="D121" s="4" t="s">
        <v>721</v>
      </c>
      <c r="E121" s="213" t="s">
        <v>5</v>
      </c>
      <c r="F121" s="248" t="s">
        <v>411</v>
      </c>
      <c r="G121" s="37"/>
      <c r="H121" s="273">
        <v>0</v>
      </c>
      <c r="I121" s="273">
        <v>0</v>
      </c>
      <c r="J121" s="273">
        <v>0</v>
      </c>
      <c r="K121" s="273">
        <f t="shared" si="5"/>
        <v>0</v>
      </c>
      <c r="L121" s="289"/>
      <c r="M121" s="273">
        <v>0</v>
      </c>
      <c r="N121" s="273">
        <v>0</v>
      </c>
      <c r="O121" s="273">
        <v>0</v>
      </c>
      <c r="P121" s="273">
        <f t="shared" si="6"/>
        <v>0</v>
      </c>
      <c r="Q121" s="37"/>
      <c r="R121" s="369">
        <v>27540.280586538465</v>
      </c>
      <c r="S121" s="369">
        <v>12000</v>
      </c>
      <c r="T121" s="369">
        <f t="shared" si="4"/>
        <v>39540.280586538465</v>
      </c>
    </row>
    <row r="122" spans="1:20">
      <c r="A122" s="231">
        <v>2142</v>
      </c>
      <c r="B122" s="4">
        <v>103237</v>
      </c>
      <c r="C122" s="4" t="s">
        <v>723</v>
      </c>
      <c r="D122" s="4" t="s">
        <v>724</v>
      </c>
      <c r="E122" s="213" t="s">
        <v>5</v>
      </c>
      <c r="F122" s="248" t="s">
        <v>411</v>
      </c>
      <c r="G122" s="37"/>
      <c r="H122" s="273">
        <v>0</v>
      </c>
      <c r="I122" s="273">
        <v>0</v>
      </c>
      <c r="J122" s="273">
        <v>0</v>
      </c>
      <c r="K122" s="273">
        <f t="shared" si="5"/>
        <v>0</v>
      </c>
      <c r="L122" s="289"/>
      <c r="M122" s="273">
        <v>0</v>
      </c>
      <c r="N122" s="273">
        <v>0</v>
      </c>
      <c r="O122" s="273">
        <v>0</v>
      </c>
      <c r="P122" s="273">
        <f t="shared" si="6"/>
        <v>0</v>
      </c>
      <c r="Q122" s="37"/>
      <c r="R122" s="369">
        <v>0</v>
      </c>
      <c r="S122" s="369">
        <v>0</v>
      </c>
      <c r="T122" s="369">
        <f t="shared" si="4"/>
        <v>0</v>
      </c>
    </row>
    <row r="123" spans="1:20">
      <c r="A123" s="231">
        <v>2469</v>
      </c>
      <c r="B123" s="4">
        <v>103395</v>
      </c>
      <c r="C123" s="4" t="s">
        <v>726</v>
      </c>
      <c r="D123" s="4" t="s">
        <v>727</v>
      </c>
      <c r="E123" s="213" t="s">
        <v>5</v>
      </c>
      <c r="F123" s="248" t="s">
        <v>411</v>
      </c>
      <c r="G123" s="37"/>
      <c r="H123" s="273">
        <v>0</v>
      </c>
      <c r="I123" s="273">
        <v>0</v>
      </c>
      <c r="J123" s="273">
        <v>0</v>
      </c>
      <c r="K123" s="273">
        <f t="shared" si="5"/>
        <v>0</v>
      </c>
      <c r="L123" s="289"/>
      <c r="M123" s="273">
        <v>0</v>
      </c>
      <c r="N123" s="273">
        <v>0</v>
      </c>
      <c r="O123" s="273">
        <v>0</v>
      </c>
      <c r="P123" s="273">
        <f t="shared" si="6"/>
        <v>0</v>
      </c>
      <c r="Q123" s="37"/>
      <c r="R123" s="369">
        <v>0</v>
      </c>
      <c r="S123" s="369">
        <v>0</v>
      </c>
      <c r="T123" s="369">
        <f t="shared" si="4"/>
        <v>0</v>
      </c>
    </row>
    <row r="124" spans="1:20">
      <c r="A124" s="231">
        <v>3431</v>
      </c>
      <c r="B124" s="4">
        <v>134774</v>
      </c>
      <c r="C124" s="4" t="s">
        <v>729</v>
      </c>
      <c r="D124" s="4" t="s">
        <v>730</v>
      </c>
      <c r="E124" s="213" t="s">
        <v>5</v>
      </c>
      <c r="F124" s="248" t="s">
        <v>411</v>
      </c>
      <c r="G124" s="37"/>
      <c r="H124" s="273">
        <v>0</v>
      </c>
      <c r="I124" s="273">
        <v>0</v>
      </c>
      <c r="J124" s="273">
        <v>0</v>
      </c>
      <c r="K124" s="273">
        <f t="shared" si="5"/>
        <v>0</v>
      </c>
      <c r="L124" s="289"/>
      <c r="M124" s="273">
        <v>0</v>
      </c>
      <c r="N124" s="273">
        <v>0</v>
      </c>
      <c r="O124" s="273">
        <v>0</v>
      </c>
      <c r="P124" s="273">
        <f t="shared" si="6"/>
        <v>0</v>
      </c>
      <c r="Q124" s="37"/>
      <c r="R124" s="369">
        <v>0</v>
      </c>
      <c r="S124" s="369">
        <v>0</v>
      </c>
      <c r="T124" s="369">
        <f t="shared" si="4"/>
        <v>0</v>
      </c>
    </row>
    <row r="125" spans="1:20">
      <c r="A125" s="231">
        <v>1028</v>
      </c>
      <c r="B125" s="4">
        <v>103141</v>
      </c>
      <c r="C125" s="4" t="s">
        <v>732</v>
      </c>
      <c r="D125" s="4" t="s">
        <v>733</v>
      </c>
      <c r="E125" s="213" t="s">
        <v>180</v>
      </c>
      <c r="F125" s="248" t="s">
        <v>411</v>
      </c>
      <c r="G125" s="37"/>
      <c r="H125" s="273">
        <v>0</v>
      </c>
      <c r="I125" s="273">
        <v>0</v>
      </c>
      <c r="J125" s="273">
        <v>0</v>
      </c>
      <c r="K125" s="273">
        <f t="shared" si="5"/>
        <v>0</v>
      </c>
      <c r="L125" s="289"/>
      <c r="M125" s="273">
        <v>0</v>
      </c>
      <c r="N125" s="273">
        <v>0</v>
      </c>
      <c r="O125" s="273">
        <v>0</v>
      </c>
      <c r="P125" s="273">
        <f t="shared" si="6"/>
        <v>0</v>
      </c>
      <c r="Q125" s="37"/>
      <c r="R125" s="369">
        <v>0</v>
      </c>
      <c r="S125" s="369">
        <v>0</v>
      </c>
      <c r="T125" s="369">
        <f t="shared" si="4"/>
        <v>0</v>
      </c>
    </row>
    <row r="126" spans="1:20">
      <c r="A126" s="231">
        <v>1049</v>
      </c>
      <c r="B126" s="4">
        <v>103145</v>
      </c>
      <c r="C126" s="4" t="s">
        <v>735</v>
      </c>
      <c r="D126" s="4" t="s">
        <v>736</v>
      </c>
      <c r="E126" s="213" t="s">
        <v>180</v>
      </c>
      <c r="F126" s="248" t="s">
        <v>411</v>
      </c>
      <c r="G126" s="37"/>
      <c r="H126" s="273">
        <v>0</v>
      </c>
      <c r="I126" s="273">
        <v>0</v>
      </c>
      <c r="J126" s="273">
        <v>0</v>
      </c>
      <c r="K126" s="273">
        <f t="shared" si="5"/>
        <v>0</v>
      </c>
      <c r="L126" s="289"/>
      <c r="M126" s="273">
        <v>0</v>
      </c>
      <c r="N126" s="273">
        <v>0</v>
      </c>
      <c r="O126" s="273">
        <v>0</v>
      </c>
      <c r="P126" s="273">
        <f t="shared" si="6"/>
        <v>0</v>
      </c>
      <c r="Q126" s="37"/>
      <c r="R126" s="369">
        <v>0</v>
      </c>
      <c r="S126" s="369">
        <v>0</v>
      </c>
      <c r="T126" s="369">
        <f t="shared" si="4"/>
        <v>0</v>
      </c>
    </row>
    <row r="127" spans="1:20">
      <c r="A127" s="231">
        <v>2149</v>
      </c>
      <c r="B127" s="4">
        <v>103240</v>
      </c>
      <c r="C127" s="4" t="s">
        <v>738</v>
      </c>
      <c r="D127" s="4" t="s">
        <v>739</v>
      </c>
      <c r="E127" s="213" t="s">
        <v>5</v>
      </c>
      <c r="F127" s="248" t="s">
        <v>411</v>
      </c>
      <c r="G127" s="37"/>
      <c r="H127" s="273">
        <v>0</v>
      </c>
      <c r="I127" s="273">
        <v>0</v>
      </c>
      <c r="J127" s="273">
        <v>0</v>
      </c>
      <c r="K127" s="273">
        <f t="shared" si="5"/>
        <v>0</v>
      </c>
      <c r="L127" s="289"/>
      <c r="M127" s="273">
        <v>0</v>
      </c>
      <c r="N127" s="273">
        <v>0</v>
      </c>
      <c r="O127" s="273">
        <v>0</v>
      </c>
      <c r="P127" s="273">
        <f t="shared" si="6"/>
        <v>0</v>
      </c>
      <c r="Q127" s="37"/>
      <c r="R127" s="369">
        <v>125374.03846153847</v>
      </c>
      <c r="S127" s="369">
        <v>90000</v>
      </c>
      <c r="T127" s="369">
        <f t="shared" si="4"/>
        <v>215374.03846153847</v>
      </c>
    </row>
    <row r="128" spans="1:20">
      <c r="A128" s="231">
        <v>2150</v>
      </c>
      <c r="B128" s="4">
        <v>103241</v>
      </c>
      <c r="C128" s="4" t="s">
        <v>741</v>
      </c>
      <c r="D128" s="4" t="s">
        <v>742</v>
      </c>
      <c r="E128" s="213" t="s">
        <v>5</v>
      </c>
      <c r="F128" s="248" t="s">
        <v>411</v>
      </c>
      <c r="G128" s="37"/>
      <c r="H128" s="273">
        <v>0</v>
      </c>
      <c r="I128" s="273">
        <v>0</v>
      </c>
      <c r="J128" s="273">
        <v>0</v>
      </c>
      <c r="K128" s="273">
        <f t="shared" si="5"/>
        <v>0</v>
      </c>
      <c r="L128" s="289"/>
      <c r="M128" s="273">
        <v>0</v>
      </c>
      <c r="N128" s="273">
        <v>0</v>
      </c>
      <c r="O128" s="273">
        <v>0</v>
      </c>
      <c r="P128" s="273">
        <f t="shared" si="6"/>
        <v>0</v>
      </c>
      <c r="Q128" s="37"/>
      <c r="R128" s="369">
        <v>0</v>
      </c>
      <c r="S128" s="369">
        <v>0</v>
      </c>
      <c r="T128" s="369">
        <f t="shared" si="4"/>
        <v>0</v>
      </c>
    </row>
    <row r="129" spans="1:20">
      <c r="A129" s="231">
        <v>2425</v>
      </c>
      <c r="B129" s="4">
        <v>103356</v>
      </c>
      <c r="C129" s="4" t="s">
        <v>744</v>
      </c>
      <c r="D129" s="4" t="s">
        <v>745</v>
      </c>
      <c r="E129" s="213" t="s">
        <v>5</v>
      </c>
      <c r="F129" s="248" t="s">
        <v>411</v>
      </c>
      <c r="G129" s="37"/>
      <c r="H129" s="273">
        <v>0</v>
      </c>
      <c r="I129" s="273">
        <v>0</v>
      </c>
      <c r="J129" s="273">
        <v>0</v>
      </c>
      <c r="K129" s="273">
        <f t="shared" si="5"/>
        <v>0</v>
      </c>
      <c r="L129" s="289"/>
      <c r="M129" s="273">
        <v>0</v>
      </c>
      <c r="N129" s="273">
        <v>0</v>
      </c>
      <c r="O129" s="273">
        <v>0</v>
      </c>
      <c r="P129" s="273">
        <f t="shared" si="6"/>
        <v>0</v>
      </c>
      <c r="Q129" s="37"/>
      <c r="R129" s="369">
        <v>0</v>
      </c>
      <c r="S129" s="369">
        <v>0</v>
      </c>
      <c r="T129" s="369">
        <f t="shared" si="4"/>
        <v>0</v>
      </c>
    </row>
    <row r="130" spans="1:20">
      <c r="A130" s="231">
        <v>1008</v>
      </c>
      <c r="B130" s="4">
        <v>103123</v>
      </c>
      <c r="C130" s="4" t="s">
        <v>747</v>
      </c>
      <c r="D130" s="4" t="s">
        <v>748</v>
      </c>
      <c r="E130" s="213" t="s">
        <v>180</v>
      </c>
      <c r="F130" s="248" t="s">
        <v>411</v>
      </c>
      <c r="G130" s="37"/>
      <c r="H130" s="273">
        <v>0</v>
      </c>
      <c r="I130" s="273">
        <v>0</v>
      </c>
      <c r="J130" s="273">
        <v>0</v>
      </c>
      <c r="K130" s="273">
        <f t="shared" si="5"/>
        <v>0</v>
      </c>
      <c r="L130" s="289"/>
      <c r="M130" s="273">
        <v>0</v>
      </c>
      <c r="N130" s="273">
        <v>0</v>
      </c>
      <c r="O130" s="273">
        <v>0</v>
      </c>
      <c r="P130" s="273">
        <f t="shared" si="6"/>
        <v>0</v>
      </c>
      <c r="Q130" s="37"/>
      <c r="R130" s="369">
        <v>0</v>
      </c>
      <c r="S130" s="369">
        <v>0</v>
      </c>
      <c r="T130" s="369">
        <f t="shared" si="4"/>
        <v>0</v>
      </c>
    </row>
    <row r="131" spans="1:20">
      <c r="A131" s="231">
        <v>7034</v>
      </c>
      <c r="B131" s="4">
        <v>103614</v>
      </c>
      <c r="C131" s="4" t="s">
        <v>750</v>
      </c>
      <c r="D131" s="4" t="s">
        <v>751</v>
      </c>
      <c r="E131" s="213" t="s">
        <v>1093</v>
      </c>
      <c r="F131" s="248" t="s">
        <v>411</v>
      </c>
      <c r="G131" s="37"/>
      <c r="H131" s="273">
        <v>962240.4</v>
      </c>
      <c r="I131" s="273">
        <v>1051754.1137730535</v>
      </c>
      <c r="J131" s="273">
        <v>59400</v>
      </c>
      <c r="K131" s="273">
        <f t="shared" si="5"/>
        <v>2073394.5137730534</v>
      </c>
      <c r="L131" s="289"/>
      <c r="M131" s="273">
        <v>962240.4</v>
      </c>
      <c r="N131" s="273">
        <v>1051754.1137730535</v>
      </c>
      <c r="O131" s="273">
        <v>59400</v>
      </c>
      <c r="P131" s="273">
        <f t="shared" si="6"/>
        <v>2073394.5137730534</v>
      </c>
      <c r="Q131" s="37"/>
      <c r="R131" s="369">
        <v>0</v>
      </c>
      <c r="S131" s="369">
        <v>0</v>
      </c>
      <c r="T131" s="369">
        <f t="shared" si="4"/>
        <v>0</v>
      </c>
    </row>
    <row r="132" spans="1:20">
      <c r="A132" s="231">
        <v>2157</v>
      </c>
      <c r="B132" s="4">
        <v>103246</v>
      </c>
      <c r="C132" s="4" t="s">
        <v>753</v>
      </c>
      <c r="D132" s="4" t="s">
        <v>754</v>
      </c>
      <c r="E132" s="213" t="s">
        <v>5</v>
      </c>
      <c r="F132" s="248" t="s">
        <v>411</v>
      </c>
      <c r="G132" s="37"/>
      <c r="H132" s="273">
        <v>0</v>
      </c>
      <c r="I132" s="273">
        <v>0</v>
      </c>
      <c r="J132" s="273">
        <v>0</v>
      </c>
      <c r="K132" s="273">
        <f t="shared" si="5"/>
        <v>0</v>
      </c>
      <c r="L132" s="289"/>
      <c r="M132" s="273">
        <v>0</v>
      </c>
      <c r="N132" s="273">
        <v>0</v>
      </c>
      <c r="O132" s="273">
        <v>0</v>
      </c>
      <c r="P132" s="273">
        <f t="shared" si="6"/>
        <v>0</v>
      </c>
      <c r="Q132" s="37"/>
      <c r="R132" s="369">
        <v>0</v>
      </c>
      <c r="S132" s="369">
        <v>0</v>
      </c>
      <c r="T132" s="369">
        <f t="shared" si="4"/>
        <v>0</v>
      </c>
    </row>
    <row r="133" spans="1:20">
      <c r="A133" s="231">
        <v>2159</v>
      </c>
      <c r="B133" s="4">
        <v>103247</v>
      </c>
      <c r="C133" s="4" t="s">
        <v>756</v>
      </c>
      <c r="D133" s="4" t="s">
        <v>757</v>
      </c>
      <c r="E133" s="213" t="s">
        <v>5</v>
      </c>
      <c r="F133" s="248" t="s">
        <v>411</v>
      </c>
      <c r="G133" s="37"/>
      <c r="H133" s="273">
        <v>0</v>
      </c>
      <c r="I133" s="273">
        <v>0</v>
      </c>
      <c r="J133" s="273">
        <v>0</v>
      </c>
      <c r="K133" s="273">
        <f t="shared" si="5"/>
        <v>0</v>
      </c>
      <c r="L133" s="289"/>
      <c r="M133" s="273">
        <v>0</v>
      </c>
      <c r="N133" s="273">
        <v>0</v>
      </c>
      <c r="O133" s="273">
        <v>0</v>
      </c>
      <c r="P133" s="273">
        <f t="shared" si="6"/>
        <v>0</v>
      </c>
      <c r="Q133" s="37"/>
      <c r="R133" s="369">
        <v>0</v>
      </c>
      <c r="S133" s="369">
        <v>0</v>
      </c>
      <c r="T133" s="369">
        <f t="shared" si="4"/>
        <v>0</v>
      </c>
    </row>
    <row r="134" spans="1:20">
      <c r="A134" s="231">
        <v>2161</v>
      </c>
      <c r="B134" s="4">
        <v>103249</v>
      </c>
      <c r="C134" s="4" t="s">
        <v>759</v>
      </c>
      <c r="D134" s="4" t="s">
        <v>760</v>
      </c>
      <c r="E134" s="213" t="s">
        <v>5</v>
      </c>
      <c r="F134" s="248" t="s">
        <v>411</v>
      </c>
      <c r="G134" s="37"/>
      <c r="H134" s="273">
        <v>0</v>
      </c>
      <c r="I134" s="273">
        <v>0</v>
      </c>
      <c r="J134" s="273">
        <v>0</v>
      </c>
      <c r="K134" s="273">
        <f t="shared" si="5"/>
        <v>0</v>
      </c>
      <c r="L134" s="289"/>
      <c r="M134" s="273">
        <v>0</v>
      </c>
      <c r="N134" s="273">
        <v>0</v>
      </c>
      <c r="O134" s="273">
        <v>0</v>
      </c>
      <c r="P134" s="273">
        <f t="shared" si="6"/>
        <v>0</v>
      </c>
      <c r="Q134" s="37"/>
      <c r="R134" s="369">
        <v>0</v>
      </c>
      <c r="S134" s="369">
        <v>0</v>
      </c>
      <c r="T134" s="369">
        <f t="shared" si="4"/>
        <v>0</v>
      </c>
    </row>
    <row r="135" spans="1:20">
      <c r="A135" s="231">
        <v>1018</v>
      </c>
      <c r="B135" s="4">
        <v>103131</v>
      </c>
      <c r="C135" s="4" t="s">
        <v>762</v>
      </c>
      <c r="D135" s="4" t="s">
        <v>763</v>
      </c>
      <c r="E135" s="213" t="s">
        <v>180</v>
      </c>
      <c r="F135" s="248" t="s">
        <v>411</v>
      </c>
      <c r="G135" s="37"/>
      <c r="H135" s="273">
        <v>0</v>
      </c>
      <c r="I135" s="273">
        <v>0</v>
      </c>
      <c r="J135" s="273">
        <v>0</v>
      </c>
      <c r="K135" s="273">
        <f t="shared" si="5"/>
        <v>0</v>
      </c>
      <c r="L135" s="289"/>
      <c r="M135" s="273">
        <v>0</v>
      </c>
      <c r="N135" s="273">
        <v>0</v>
      </c>
      <c r="O135" s="273">
        <v>0</v>
      </c>
      <c r="P135" s="273">
        <f t="shared" si="6"/>
        <v>0</v>
      </c>
      <c r="Q135" s="37"/>
      <c r="R135" s="369">
        <v>0</v>
      </c>
      <c r="S135" s="369">
        <v>0</v>
      </c>
      <c r="T135" s="369">
        <f t="shared" si="4"/>
        <v>0</v>
      </c>
    </row>
    <row r="136" spans="1:20">
      <c r="A136" s="231">
        <v>1000</v>
      </c>
      <c r="B136" s="4">
        <v>137796</v>
      </c>
      <c r="C136" s="4" t="s">
        <v>765</v>
      </c>
      <c r="D136" s="4" t="s">
        <v>766</v>
      </c>
      <c r="E136" s="213" t="s">
        <v>180</v>
      </c>
      <c r="F136" s="248" t="s">
        <v>411</v>
      </c>
      <c r="G136" s="37"/>
      <c r="H136" s="273">
        <v>0</v>
      </c>
      <c r="I136" s="273">
        <v>0</v>
      </c>
      <c r="J136" s="273">
        <v>0</v>
      </c>
      <c r="K136" s="273">
        <f t="shared" si="5"/>
        <v>0</v>
      </c>
      <c r="L136" s="289"/>
      <c r="M136" s="273">
        <v>0</v>
      </c>
      <c r="N136" s="273">
        <v>0</v>
      </c>
      <c r="O136" s="273">
        <v>0</v>
      </c>
      <c r="P136" s="273">
        <f t="shared" si="6"/>
        <v>0</v>
      </c>
      <c r="Q136" s="37"/>
      <c r="R136" s="369">
        <v>0</v>
      </c>
      <c r="S136" s="369">
        <v>0</v>
      </c>
      <c r="T136" s="369">
        <f t="shared" si="4"/>
        <v>0</v>
      </c>
    </row>
    <row r="137" spans="1:20">
      <c r="A137" s="231">
        <v>2169</v>
      </c>
      <c r="B137" s="4">
        <v>103252</v>
      </c>
      <c r="C137" s="4" t="s">
        <v>768</v>
      </c>
      <c r="D137" s="4" t="s">
        <v>769</v>
      </c>
      <c r="E137" s="213" t="s">
        <v>5</v>
      </c>
      <c r="F137" s="248" t="s">
        <v>411</v>
      </c>
      <c r="G137" s="37"/>
      <c r="H137" s="273">
        <v>0</v>
      </c>
      <c r="I137" s="273">
        <v>0</v>
      </c>
      <c r="J137" s="273">
        <v>0</v>
      </c>
      <c r="K137" s="273">
        <f t="shared" si="5"/>
        <v>0</v>
      </c>
      <c r="L137" s="289"/>
      <c r="M137" s="273">
        <v>0</v>
      </c>
      <c r="N137" s="273">
        <v>0</v>
      </c>
      <c r="O137" s="273">
        <v>0</v>
      </c>
      <c r="P137" s="273">
        <f t="shared" si="6"/>
        <v>0</v>
      </c>
      <c r="Q137" s="37"/>
      <c r="R137" s="369">
        <v>0</v>
      </c>
      <c r="S137" s="369">
        <v>0</v>
      </c>
      <c r="T137" s="369">
        <f t="shared" ref="T137:T200" si="7">R137+S137</f>
        <v>0</v>
      </c>
    </row>
    <row r="138" spans="1:20">
      <c r="A138" s="231">
        <v>7047</v>
      </c>
      <c r="B138" s="4">
        <v>103623</v>
      </c>
      <c r="C138" s="4" t="s">
        <v>771</v>
      </c>
      <c r="D138" s="4" t="s">
        <v>772</v>
      </c>
      <c r="E138" s="213" t="s">
        <v>1093</v>
      </c>
      <c r="F138" s="248" t="s">
        <v>411</v>
      </c>
      <c r="G138" s="37"/>
      <c r="H138" s="273">
        <v>1037081.3200000001</v>
      </c>
      <c r="I138" s="273">
        <v>1313521.4926675414</v>
      </c>
      <c r="J138" s="273">
        <v>64020</v>
      </c>
      <c r="K138" s="273">
        <f t="shared" ref="K138:K201" si="8">SUM(H138:J138)</f>
        <v>2414622.8126675412</v>
      </c>
      <c r="L138" s="289"/>
      <c r="M138" s="273">
        <v>1037081.3200000001</v>
      </c>
      <c r="N138" s="273">
        <v>1313521.4926675414</v>
      </c>
      <c r="O138" s="273">
        <v>64020</v>
      </c>
      <c r="P138" s="273">
        <f t="shared" ref="P138:P201" si="9">SUM(M138:O138)</f>
        <v>2414622.8126675412</v>
      </c>
      <c r="Q138" s="37"/>
      <c r="R138" s="369">
        <v>0</v>
      </c>
      <c r="S138" s="369">
        <v>0</v>
      </c>
      <c r="T138" s="369">
        <f t="shared" si="7"/>
        <v>0</v>
      </c>
    </row>
    <row r="139" spans="1:20">
      <c r="A139" s="231">
        <v>3381</v>
      </c>
      <c r="B139" s="4">
        <v>103466</v>
      </c>
      <c r="C139" s="4" t="s">
        <v>774</v>
      </c>
      <c r="D139" s="4" t="s">
        <v>775</v>
      </c>
      <c r="E139" s="213" t="s">
        <v>5</v>
      </c>
      <c r="F139" s="248" t="s">
        <v>411</v>
      </c>
      <c r="G139" s="37"/>
      <c r="H139" s="273">
        <v>0</v>
      </c>
      <c r="I139" s="273">
        <v>0</v>
      </c>
      <c r="J139" s="273">
        <v>0</v>
      </c>
      <c r="K139" s="273">
        <f t="shared" si="8"/>
        <v>0</v>
      </c>
      <c r="L139" s="289"/>
      <c r="M139" s="273">
        <v>0</v>
      </c>
      <c r="N139" s="273">
        <v>0</v>
      </c>
      <c r="O139" s="273">
        <v>0</v>
      </c>
      <c r="P139" s="273">
        <f t="shared" si="9"/>
        <v>0</v>
      </c>
      <c r="Q139" s="37"/>
      <c r="R139" s="369">
        <v>0</v>
      </c>
      <c r="S139" s="369">
        <v>0</v>
      </c>
      <c r="T139" s="369">
        <f t="shared" si="7"/>
        <v>0</v>
      </c>
    </row>
    <row r="140" spans="1:20">
      <c r="A140" s="231">
        <v>3329</v>
      </c>
      <c r="B140" s="4">
        <v>103431</v>
      </c>
      <c r="C140" s="4" t="s">
        <v>777</v>
      </c>
      <c r="D140" s="4" t="s">
        <v>778</v>
      </c>
      <c r="E140" s="213" t="s">
        <v>5</v>
      </c>
      <c r="F140" s="248" t="s">
        <v>411</v>
      </c>
      <c r="G140" s="37"/>
      <c r="H140" s="273">
        <v>0</v>
      </c>
      <c r="I140" s="273">
        <v>0</v>
      </c>
      <c r="J140" s="273">
        <v>0</v>
      </c>
      <c r="K140" s="273">
        <f t="shared" si="8"/>
        <v>0</v>
      </c>
      <c r="L140" s="289"/>
      <c r="M140" s="273">
        <v>0</v>
      </c>
      <c r="N140" s="273">
        <v>0</v>
      </c>
      <c r="O140" s="273">
        <v>0</v>
      </c>
      <c r="P140" s="273">
        <f t="shared" si="9"/>
        <v>0</v>
      </c>
      <c r="Q140" s="37"/>
      <c r="R140" s="369">
        <v>0</v>
      </c>
      <c r="S140" s="369">
        <v>0</v>
      </c>
      <c r="T140" s="369">
        <f t="shared" si="7"/>
        <v>0</v>
      </c>
    </row>
    <row r="141" spans="1:20">
      <c r="A141" s="231">
        <v>2183</v>
      </c>
      <c r="B141" s="4">
        <v>103261</v>
      </c>
      <c r="C141" s="4" t="s">
        <v>780</v>
      </c>
      <c r="D141" s="4" t="s">
        <v>781</v>
      </c>
      <c r="E141" s="213" t="s">
        <v>5</v>
      </c>
      <c r="F141" s="248" t="s">
        <v>411</v>
      </c>
      <c r="G141" s="37"/>
      <c r="H141" s="273">
        <v>0</v>
      </c>
      <c r="I141" s="273">
        <v>0</v>
      </c>
      <c r="J141" s="273">
        <v>0</v>
      </c>
      <c r="K141" s="273">
        <f t="shared" si="8"/>
        <v>0</v>
      </c>
      <c r="L141" s="289"/>
      <c r="M141" s="273">
        <v>0</v>
      </c>
      <c r="N141" s="273">
        <v>0</v>
      </c>
      <c r="O141" s="273">
        <v>0</v>
      </c>
      <c r="P141" s="273">
        <f t="shared" si="9"/>
        <v>0</v>
      </c>
      <c r="Q141" s="37"/>
      <c r="R141" s="369">
        <v>0</v>
      </c>
      <c r="S141" s="369">
        <v>0</v>
      </c>
      <c r="T141" s="369">
        <f t="shared" si="7"/>
        <v>0</v>
      </c>
    </row>
    <row r="142" spans="1:20">
      <c r="A142" s="231">
        <v>3331</v>
      </c>
      <c r="B142" s="4">
        <v>103433</v>
      </c>
      <c r="C142" s="4" t="s">
        <v>786</v>
      </c>
      <c r="D142" s="4" t="s">
        <v>787</v>
      </c>
      <c r="E142" s="213" t="s">
        <v>5</v>
      </c>
      <c r="F142" s="248" t="s">
        <v>411</v>
      </c>
      <c r="G142" s="37"/>
      <c r="H142" s="273">
        <v>0</v>
      </c>
      <c r="I142" s="273">
        <v>0</v>
      </c>
      <c r="J142" s="273">
        <v>0</v>
      </c>
      <c r="K142" s="273">
        <f t="shared" si="8"/>
        <v>0</v>
      </c>
      <c r="L142" s="289"/>
      <c r="M142" s="273">
        <v>0</v>
      </c>
      <c r="N142" s="273">
        <v>0</v>
      </c>
      <c r="O142" s="273">
        <v>0</v>
      </c>
      <c r="P142" s="273">
        <f t="shared" si="9"/>
        <v>0</v>
      </c>
      <c r="Q142" s="37"/>
      <c r="R142" s="369">
        <v>0</v>
      </c>
      <c r="S142" s="369">
        <v>0</v>
      </c>
      <c r="T142" s="369">
        <f t="shared" si="7"/>
        <v>0</v>
      </c>
    </row>
    <row r="143" spans="1:20">
      <c r="A143" s="231">
        <v>3406</v>
      </c>
      <c r="B143" s="4">
        <v>103476</v>
      </c>
      <c r="C143" s="4" t="s">
        <v>789</v>
      </c>
      <c r="D143" s="4" t="s">
        <v>790</v>
      </c>
      <c r="E143" s="213" t="s">
        <v>5</v>
      </c>
      <c r="F143" s="248" t="s">
        <v>411</v>
      </c>
      <c r="G143" s="37"/>
      <c r="H143" s="273">
        <v>0</v>
      </c>
      <c r="I143" s="273">
        <v>0</v>
      </c>
      <c r="J143" s="273">
        <v>0</v>
      </c>
      <c r="K143" s="273">
        <f t="shared" si="8"/>
        <v>0</v>
      </c>
      <c r="L143" s="289"/>
      <c r="M143" s="273">
        <v>0</v>
      </c>
      <c r="N143" s="273">
        <v>0</v>
      </c>
      <c r="O143" s="273">
        <v>0</v>
      </c>
      <c r="P143" s="273">
        <f t="shared" si="9"/>
        <v>0</v>
      </c>
      <c r="Q143" s="37"/>
      <c r="R143" s="369">
        <v>0</v>
      </c>
      <c r="S143" s="369">
        <v>0</v>
      </c>
      <c r="T143" s="369">
        <f t="shared" si="7"/>
        <v>0</v>
      </c>
    </row>
    <row r="144" spans="1:20">
      <c r="A144" s="231">
        <v>3386</v>
      </c>
      <c r="B144" s="4">
        <v>103470</v>
      </c>
      <c r="C144" s="4" t="s">
        <v>792</v>
      </c>
      <c r="D144" s="4" t="s">
        <v>793</v>
      </c>
      <c r="E144" s="213" t="s">
        <v>5</v>
      </c>
      <c r="F144" s="248" t="s">
        <v>411</v>
      </c>
      <c r="G144" s="37"/>
      <c r="H144" s="273">
        <v>0</v>
      </c>
      <c r="I144" s="273">
        <v>0</v>
      </c>
      <c r="J144" s="273">
        <v>0</v>
      </c>
      <c r="K144" s="273">
        <f t="shared" si="8"/>
        <v>0</v>
      </c>
      <c r="L144" s="289"/>
      <c r="M144" s="273">
        <v>0</v>
      </c>
      <c r="N144" s="273">
        <v>0</v>
      </c>
      <c r="O144" s="273">
        <v>0</v>
      </c>
      <c r="P144" s="273">
        <f t="shared" si="9"/>
        <v>0</v>
      </c>
      <c r="Q144" s="37"/>
      <c r="R144" s="369">
        <v>0</v>
      </c>
      <c r="S144" s="369">
        <v>0</v>
      </c>
      <c r="T144" s="369">
        <f t="shared" si="7"/>
        <v>0</v>
      </c>
    </row>
    <row r="145" spans="1:20">
      <c r="A145" s="231">
        <v>3342</v>
      </c>
      <c r="B145" s="4">
        <v>103437</v>
      </c>
      <c r="C145" s="4" t="s">
        <v>795</v>
      </c>
      <c r="D145" s="4" t="s">
        <v>796</v>
      </c>
      <c r="E145" s="213" t="s">
        <v>5</v>
      </c>
      <c r="F145" s="248" t="s">
        <v>411</v>
      </c>
      <c r="G145" s="37"/>
      <c r="H145" s="273">
        <v>0</v>
      </c>
      <c r="I145" s="273">
        <v>0</v>
      </c>
      <c r="J145" s="273">
        <v>0</v>
      </c>
      <c r="K145" s="273">
        <f t="shared" si="8"/>
        <v>0</v>
      </c>
      <c r="L145" s="289"/>
      <c r="M145" s="273">
        <v>0</v>
      </c>
      <c r="N145" s="273">
        <v>0</v>
      </c>
      <c r="O145" s="273">
        <v>0</v>
      </c>
      <c r="P145" s="273">
        <f t="shared" si="9"/>
        <v>0</v>
      </c>
      <c r="Q145" s="37"/>
      <c r="R145" s="369">
        <v>0</v>
      </c>
      <c r="S145" s="369">
        <v>0</v>
      </c>
      <c r="T145" s="369">
        <f t="shared" si="7"/>
        <v>0</v>
      </c>
    </row>
    <row r="146" spans="1:20">
      <c r="A146" s="231">
        <v>3010</v>
      </c>
      <c r="B146" s="4">
        <v>103401</v>
      </c>
      <c r="C146" s="4" t="s">
        <v>798</v>
      </c>
      <c r="D146" s="4" t="s">
        <v>799</v>
      </c>
      <c r="E146" s="213" t="s">
        <v>5</v>
      </c>
      <c r="F146" s="248" t="s">
        <v>411</v>
      </c>
      <c r="G146" s="37"/>
      <c r="H146" s="273">
        <v>0</v>
      </c>
      <c r="I146" s="273">
        <v>0</v>
      </c>
      <c r="J146" s="273">
        <v>0</v>
      </c>
      <c r="K146" s="273">
        <f t="shared" si="8"/>
        <v>0</v>
      </c>
      <c r="L146" s="289"/>
      <c r="M146" s="273">
        <v>0</v>
      </c>
      <c r="N146" s="273">
        <v>0</v>
      </c>
      <c r="O146" s="273">
        <v>0</v>
      </c>
      <c r="P146" s="273">
        <f t="shared" si="9"/>
        <v>0</v>
      </c>
      <c r="Q146" s="37"/>
      <c r="R146" s="369">
        <v>0</v>
      </c>
      <c r="S146" s="369">
        <v>0</v>
      </c>
      <c r="T146" s="369">
        <f t="shared" si="7"/>
        <v>0</v>
      </c>
    </row>
    <row r="147" spans="1:20">
      <c r="A147" s="231">
        <v>4625</v>
      </c>
      <c r="B147" s="4">
        <v>103534</v>
      </c>
      <c r="C147" s="4" t="s">
        <v>801</v>
      </c>
      <c r="D147" s="4" t="s">
        <v>802</v>
      </c>
      <c r="E147" s="213" t="s">
        <v>6</v>
      </c>
      <c r="F147" s="248" t="s">
        <v>411</v>
      </c>
      <c r="G147" s="37"/>
      <c r="H147" s="273">
        <v>0</v>
      </c>
      <c r="I147" s="273">
        <v>0</v>
      </c>
      <c r="J147" s="273">
        <v>0</v>
      </c>
      <c r="K147" s="273">
        <f t="shared" si="8"/>
        <v>0</v>
      </c>
      <c r="L147" s="289"/>
      <c r="M147" s="273">
        <v>0</v>
      </c>
      <c r="N147" s="273">
        <v>0</v>
      </c>
      <c r="O147" s="273">
        <v>0</v>
      </c>
      <c r="P147" s="273">
        <f t="shared" si="9"/>
        <v>0</v>
      </c>
      <c r="Q147" s="37"/>
      <c r="R147" s="369">
        <v>0</v>
      </c>
      <c r="S147" s="369">
        <v>0</v>
      </c>
      <c r="T147" s="369">
        <f t="shared" si="7"/>
        <v>0</v>
      </c>
    </row>
    <row r="148" spans="1:20">
      <c r="A148" s="231">
        <v>3307</v>
      </c>
      <c r="B148" s="4">
        <v>103416</v>
      </c>
      <c r="C148" s="4" t="s">
        <v>804</v>
      </c>
      <c r="D148" s="4" t="s">
        <v>805</v>
      </c>
      <c r="E148" s="213" t="s">
        <v>5</v>
      </c>
      <c r="F148" s="248" t="s">
        <v>411</v>
      </c>
      <c r="G148" s="37"/>
      <c r="H148" s="273">
        <v>0</v>
      </c>
      <c r="I148" s="273">
        <v>0</v>
      </c>
      <c r="J148" s="273">
        <v>0</v>
      </c>
      <c r="K148" s="273">
        <f t="shared" si="8"/>
        <v>0</v>
      </c>
      <c r="L148" s="289"/>
      <c r="M148" s="273">
        <v>0</v>
      </c>
      <c r="N148" s="273">
        <v>0</v>
      </c>
      <c r="O148" s="273">
        <v>0</v>
      </c>
      <c r="P148" s="273">
        <f t="shared" si="9"/>
        <v>0</v>
      </c>
      <c r="Q148" s="37"/>
      <c r="R148" s="369">
        <v>0</v>
      </c>
      <c r="S148" s="369">
        <v>0</v>
      </c>
      <c r="T148" s="369">
        <f t="shared" si="7"/>
        <v>0</v>
      </c>
    </row>
    <row r="149" spans="1:20">
      <c r="A149" s="231">
        <v>3382</v>
      </c>
      <c r="B149" s="4">
        <v>103467</v>
      </c>
      <c r="C149" s="4" t="s">
        <v>807</v>
      </c>
      <c r="D149" s="4" t="s">
        <v>808</v>
      </c>
      <c r="E149" s="213" t="s">
        <v>5</v>
      </c>
      <c r="F149" s="248" t="s">
        <v>411</v>
      </c>
      <c r="G149" s="37"/>
      <c r="H149" s="273">
        <v>0</v>
      </c>
      <c r="I149" s="273">
        <v>0</v>
      </c>
      <c r="J149" s="273">
        <v>0</v>
      </c>
      <c r="K149" s="273">
        <f t="shared" si="8"/>
        <v>0</v>
      </c>
      <c r="L149" s="289"/>
      <c r="M149" s="273">
        <v>0</v>
      </c>
      <c r="N149" s="273">
        <v>0</v>
      </c>
      <c r="O149" s="273">
        <v>0</v>
      </c>
      <c r="P149" s="273">
        <f t="shared" si="9"/>
        <v>0</v>
      </c>
      <c r="Q149" s="37"/>
      <c r="R149" s="369">
        <v>0</v>
      </c>
      <c r="S149" s="369">
        <v>0</v>
      </c>
      <c r="T149" s="369">
        <f t="shared" si="7"/>
        <v>0</v>
      </c>
    </row>
    <row r="150" spans="1:20">
      <c r="A150" s="231">
        <v>3025</v>
      </c>
      <c r="B150" s="4">
        <v>103410</v>
      </c>
      <c r="C150" s="4" t="s">
        <v>810</v>
      </c>
      <c r="D150" s="4" t="s">
        <v>157</v>
      </c>
      <c r="E150" s="213" t="s">
        <v>5</v>
      </c>
      <c r="F150" s="248" t="s">
        <v>411</v>
      </c>
      <c r="G150" s="37"/>
      <c r="H150" s="273">
        <v>0</v>
      </c>
      <c r="I150" s="273">
        <v>0</v>
      </c>
      <c r="J150" s="273">
        <v>0</v>
      </c>
      <c r="K150" s="273">
        <f t="shared" si="8"/>
        <v>0</v>
      </c>
      <c r="L150" s="289"/>
      <c r="M150" s="273">
        <v>0</v>
      </c>
      <c r="N150" s="273">
        <v>0</v>
      </c>
      <c r="O150" s="273">
        <v>0</v>
      </c>
      <c r="P150" s="273">
        <f t="shared" si="9"/>
        <v>0</v>
      </c>
      <c r="Q150" s="37"/>
      <c r="R150" s="369">
        <v>0</v>
      </c>
      <c r="S150" s="369">
        <v>0</v>
      </c>
      <c r="T150" s="369">
        <f t="shared" si="7"/>
        <v>0</v>
      </c>
    </row>
    <row r="151" spans="1:20">
      <c r="A151" s="231">
        <v>3346</v>
      </c>
      <c r="B151" s="4">
        <v>103439</v>
      </c>
      <c r="C151" s="4" t="s">
        <v>812</v>
      </c>
      <c r="D151" s="4" t="s">
        <v>813</v>
      </c>
      <c r="E151" s="213" t="s">
        <v>5</v>
      </c>
      <c r="F151" s="248" t="s">
        <v>411</v>
      </c>
      <c r="G151" s="37"/>
      <c r="H151" s="273">
        <v>0</v>
      </c>
      <c r="I151" s="273">
        <v>0</v>
      </c>
      <c r="J151" s="273">
        <v>0</v>
      </c>
      <c r="K151" s="273">
        <f t="shared" si="8"/>
        <v>0</v>
      </c>
      <c r="L151" s="289"/>
      <c r="M151" s="273">
        <v>0</v>
      </c>
      <c r="N151" s="273">
        <v>0</v>
      </c>
      <c r="O151" s="273">
        <v>0</v>
      </c>
      <c r="P151" s="273">
        <f t="shared" si="9"/>
        <v>0</v>
      </c>
      <c r="Q151" s="37"/>
      <c r="R151" s="369">
        <v>0</v>
      </c>
      <c r="S151" s="369">
        <v>0</v>
      </c>
      <c r="T151" s="369">
        <f t="shared" si="7"/>
        <v>0</v>
      </c>
    </row>
    <row r="152" spans="1:20">
      <c r="A152" s="231">
        <v>3365</v>
      </c>
      <c r="B152" s="4">
        <v>103456</v>
      </c>
      <c r="C152" s="4" t="s">
        <v>815</v>
      </c>
      <c r="D152" s="4" t="s">
        <v>816</v>
      </c>
      <c r="E152" s="213" t="s">
        <v>5</v>
      </c>
      <c r="F152" s="248" t="s">
        <v>411</v>
      </c>
      <c r="G152" s="37"/>
      <c r="H152" s="273">
        <v>0</v>
      </c>
      <c r="I152" s="273">
        <v>0</v>
      </c>
      <c r="J152" s="273">
        <v>0</v>
      </c>
      <c r="K152" s="273">
        <f t="shared" si="8"/>
        <v>0</v>
      </c>
      <c r="L152" s="289"/>
      <c r="M152" s="273">
        <v>0</v>
      </c>
      <c r="N152" s="273">
        <v>0</v>
      </c>
      <c r="O152" s="273">
        <v>0</v>
      </c>
      <c r="P152" s="273">
        <f t="shared" si="9"/>
        <v>0</v>
      </c>
      <c r="Q152" s="37"/>
      <c r="R152" s="369">
        <v>0</v>
      </c>
      <c r="S152" s="369">
        <v>0</v>
      </c>
      <c r="T152" s="369">
        <f t="shared" si="7"/>
        <v>0</v>
      </c>
    </row>
    <row r="153" spans="1:20">
      <c r="A153" s="231">
        <v>1009</v>
      </c>
      <c r="B153" s="4">
        <v>103124</v>
      </c>
      <c r="C153" s="4" t="s">
        <v>818</v>
      </c>
      <c r="D153" s="4" t="s">
        <v>819</v>
      </c>
      <c r="E153" s="213" t="s">
        <v>180</v>
      </c>
      <c r="F153" s="248" t="s">
        <v>411</v>
      </c>
      <c r="G153" s="37"/>
      <c r="H153" s="273">
        <v>0</v>
      </c>
      <c r="I153" s="273">
        <v>0</v>
      </c>
      <c r="J153" s="273">
        <v>0</v>
      </c>
      <c r="K153" s="273">
        <f t="shared" si="8"/>
        <v>0</v>
      </c>
      <c r="L153" s="289"/>
      <c r="M153" s="273">
        <v>0</v>
      </c>
      <c r="N153" s="273">
        <v>0</v>
      </c>
      <c r="O153" s="273">
        <v>0</v>
      </c>
      <c r="P153" s="273">
        <f t="shared" si="9"/>
        <v>0</v>
      </c>
      <c r="Q153" s="37"/>
      <c r="R153" s="369">
        <v>0</v>
      </c>
      <c r="S153" s="369">
        <v>0</v>
      </c>
      <c r="T153" s="369">
        <f t="shared" si="7"/>
        <v>0</v>
      </c>
    </row>
    <row r="154" spans="1:20">
      <c r="A154" s="231">
        <v>3310</v>
      </c>
      <c r="B154" s="4">
        <v>103417</v>
      </c>
      <c r="C154" s="4" t="s">
        <v>821</v>
      </c>
      <c r="D154" s="4" t="s">
        <v>822</v>
      </c>
      <c r="E154" s="213" t="s">
        <v>5</v>
      </c>
      <c r="F154" s="248" t="s">
        <v>411</v>
      </c>
      <c r="G154" s="37"/>
      <c r="H154" s="273">
        <v>0</v>
      </c>
      <c r="I154" s="273">
        <v>0</v>
      </c>
      <c r="J154" s="273">
        <v>0</v>
      </c>
      <c r="K154" s="273">
        <f t="shared" si="8"/>
        <v>0</v>
      </c>
      <c r="L154" s="289"/>
      <c r="M154" s="273">
        <v>0</v>
      </c>
      <c r="N154" s="273">
        <v>0</v>
      </c>
      <c r="O154" s="273">
        <v>0</v>
      </c>
      <c r="P154" s="273">
        <f t="shared" si="9"/>
        <v>0</v>
      </c>
      <c r="Q154" s="37"/>
      <c r="R154" s="369">
        <v>0</v>
      </c>
      <c r="S154" s="369">
        <v>0</v>
      </c>
      <c r="T154" s="369">
        <f t="shared" si="7"/>
        <v>0</v>
      </c>
    </row>
    <row r="155" spans="1:20">
      <c r="A155" s="231">
        <v>2067</v>
      </c>
      <c r="B155" s="4">
        <v>103196</v>
      </c>
      <c r="C155" s="4" t="s">
        <v>827</v>
      </c>
      <c r="D155" s="4" t="s">
        <v>828</v>
      </c>
      <c r="E155" s="213" t="s">
        <v>5</v>
      </c>
      <c r="F155" s="248" t="s">
        <v>411</v>
      </c>
      <c r="G155" s="37"/>
      <c r="H155" s="273">
        <v>0</v>
      </c>
      <c r="I155" s="273">
        <v>0</v>
      </c>
      <c r="J155" s="273">
        <v>0</v>
      </c>
      <c r="K155" s="273">
        <f t="shared" si="8"/>
        <v>0</v>
      </c>
      <c r="L155" s="289"/>
      <c r="M155" s="273">
        <v>0</v>
      </c>
      <c r="N155" s="273">
        <v>0</v>
      </c>
      <c r="O155" s="273">
        <v>0</v>
      </c>
      <c r="P155" s="273">
        <f t="shared" si="9"/>
        <v>0</v>
      </c>
      <c r="Q155" s="37"/>
      <c r="R155" s="369">
        <v>0</v>
      </c>
      <c r="S155" s="369">
        <v>0</v>
      </c>
      <c r="T155" s="369">
        <f t="shared" si="7"/>
        <v>0</v>
      </c>
    </row>
    <row r="156" spans="1:20">
      <c r="A156" s="231">
        <v>2246</v>
      </c>
      <c r="B156" s="4">
        <v>103296</v>
      </c>
      <c r="C156" s="4" t="s">
        <v>830</v>
      </c>
      <c r="D156" s="4" t="s">
        <v>831</v>
      </c>
      <c r="E156" s="213" t="s">
        <v>5</v>
      </c>
      <c r="F156" s="248" t="s">
        <v>411</v>
      </c>
      <c r="G156" s="37"/>
      <c r="H156" s="273">
        <v>0</v>
      </c>
      <c r="I156" s="273">
        <v>0</v>
      </c>
      <c r="J156" s="273">
        <v>0</v>
      </c>
      <c r="K156" s="273">
        <f t="shared" si="8"/>
        <v>0</v>
      </c>
      <c r="L156" s="289"/>
      <c r="M156" s="273">
        <v>0</v>
      </c>
      <c r="N156" s="273">
        <v>0</v>
      </c>
      <c r="O156" s="273">
        <v>0</v>
      </c>
      <c r="P156" s="273">
        <f t="shared" si="9"/>
        <v>0</v>
      </c>
      <c r="Q156" s="37"/>
      <c r="R156" s="369">
        <v>201435.73557692306</v>
      </c>
      <c r="S156" s="369">
        <v>156000</v>
      </c>
      <c r="T156" s="369">
        <f t="shared" si="7"/>
        <v>357435.73557692306</v>
      </c>
    </row>
    <row r="157" spans="1:20">
      <c r="A157" s="231">
        <v>2192</v>
      </c>
      <c r="B157" s="4">
        <v>103268</v>
      </c>
      <c r="C157" s="4" t="s">
        <v>833</v>
      </c>
      <c r="D157" s="4" t="s">
        <v>834</v>
      </c>
      <c r="E157" s="213" t="s">
        <v>5</v>
      </c>
      <c r="F157" s="248" t="s">
        <v>411</v>
      </c>
      <c r="G157" s="37"/>
      <c r="H157" s="273">
        <v>0</v>
      </c>
      <c r="I157" s="273">
        <v>0</v>
      </c>
      <c r="J157" s="273">
        <v>0</v>
      </c>
      <c r="K157" s="273">
        <f t="shared" si="8"/>
        <v>0</v>
      </c>
      <c r="L157" s="289"/>
      <c r="M157" s="273">
        <v>0</v>
      </c>
      <c r="N157" s="273">
        <v>0</v>
      </c>
      <c r="O157" s="273">
        <v>0</v>
      </c>
      <c r="P157" s="273">
        <f t="shared" si="9"/>
        <v>0</v>
      </c>
      <c r="Q157" s="37"/>
      <c r="R157" s="369">
        <v>0</v>
      </c>
      <c r="S157" s="369">
        <v>0</v>
      </c>
      <c r="T157" s="369">
        <f t="shared" si="7"/>
        <v>0</v>
      </c>
    </row>
    <row r="158" spans="1:20">
      <c r="A158" s="231">
        <v>2108</v>
      </c>
      <c r="B158" s="4">
        <v>103217</v>
      </c>
      <c r="C158" s="4" t="s">
        <v>836</v>
      </c>
      <c r="D158" s="4" t="s">
        <v>837</v>
      </c>
      <c r="E158" s="213" t="s">
        <v>5</v>
      </c>
      <c r="F158" s="248" t="s">
        <v>411</v>
      </c>
      <c r="G158" s="37"/>
      <c r="H158" s="273">
        <v>0</v>
      </c>
      <c r="I158" s="273">
        <v>0</v>
      </c>
      <c r="J158" s="273">
        <v>0</v>
      </c>
      <c r="K158" s="273">
        <f t="shared" si="8"/>
        <v>0</v>
      </c>
      <c r="L158" s="289"/>
      <c r="M158" s="273">
        <v>0</v>
      </c>
      <c r="N158" s="273">
        <v>0</v>
      </c>
      <c r="O158" s="273">
        <v>0</v>
      </c>
      <c r="P158" s="273">
        <f t="shared" si="9"/>
        <v>0</v>
      </c>
      <c r="Q158" s="37"/>
      <c r="R158" s="369">
        <v>159801.92307692306</v>
      </c>
      <c r="S158" s="369">
        <v>108000</v>
      </c>
      <c r="T158" s="369">
        <f t="shared" si="7"/>
        <v>267801.92307692306</v>
      </c>
    </row>
    <row r="159" spans="1:20">
      <c r="A159" s="231">
        <v>1020</v>
      </c>
      <c r="B159" s="4">
        <v>103133</v>
      </c>
      <c r="C159" s="4" t="s">
        <v>839</v>
      </c>
      <c r="D159" s="4" t="s">
        <v>840</v>
      </c>
      <c r="E159" s="213" t="s">
        <v>180</v>
      </c>
      <c r="F159" s="248" t="s">
        <v>411</v>
      </c>
      <c r="G159" s="37"/>
      <c r="H159" s="273">
        <v>0</v>
      </c>
      <c r="I159" s="273">
        <v>0</v>
      </c>
      <c r="J159" s="273">
        <v>0</v>
      </c>
      <c r="K159" s="273">
        <f t="shared" si="8"/>
        <v>0</v>
      </c>
      <c r="L159" s="289"/>
      <c r="M159" s="273">
        <v>0</v>
      </c>
      <c r="N159" s="273">
        <v>0</v>
      </c>
      <c r="O159" s="273">
        <v>0</v>
      </c>
      <c r="P159" s="273">
        <f t="shared" si="9"/>
        <v>0</v>
      </c>
      <c r="Q159" s="37"/>
      <c r="R159" s="369">
        <v>0</v>
      </c>
      <c r="S159" s="369">
        <v>0</v>
      </c>
      <c r="T159" s="369">
        <f t="shared" si="7"/>
        <v>0</v>
      </c>
    </row>
    <row r="160" spans="1:20">
      <c r="A160" s="231">
        <v>1014</v>
      </c>
      <c r="B160" s="4">
        <v>103127</v>
      </c>
      <c r="C160" s="4" t="s">
        <v>842</v>
      </c>
      <c r="D160" s="4" t="s">
        <v>843</v>
      </c>
      <c r="E160" s="213" t="s">
        <v>180</v>
      </c>
      <c r="F160" s="248" t="s">
        <v>411</v>
      </c>
      <c r="G160" s="37"/>
      <c r="H160" s="273">
        <v>0</v>
      </c>
      <c r="I160" s="273">
        <v>0</v>
      </c>
      <c r="J160" s="273">
        <v>0</v>
      </c>
      <c r="K160" s="273">
        <f t="shared" si="8"/>
        <v>0</v>
      </c>
      <c r="L160" s="289"/>
      <c r="M160" s="273">
        <v>0</v>
      </c>
      <c r="N160" s="273">
        <v>0</v>
      </c>
      <c r="O160" s="273">
        <v>0</v>
      </c>
      <c r="P160" s="273">
        <f t="shared" si="9"/>
        <v>0</v>
      </c>
      <c r="Q160" s="37"/>
      <c r="R160" s="369">
        <v>0</v>
      </c>
      <c r="S160" s="369">
        <v>0</v>
      </c>
      <c r="T160" s="369">
        <f t="shared" si="7"/>
        <v>0</v>
      </c>
    </row>
    <row r="161" spans="1:20">
      <c r="A161" s="231">
        <v>2019</v>
      </c>
      <c r="B161" s="4">
        <v>134279</v>
      </c>
      <c r="C161" s="4" t="s">
        <v>845</v>
      </c>
      <c r="D161" s="4" t="s">
        <v>846</v>
      </c>
      <c r="E161" s="213" t="s">
        <v>5</v>
      </c>
      <c r="F161" s="248" t="s">
        <v>411</v>
      </c>
      <c r="G161" s="37"/>
      <c r="H161" s="273">
        <v>0</v>
      </c>
      <c r="I161" s="273">
        <v>0</v>
      </c>
      <c r="J161" s="273">
        <v>0</v>
      </c>
      <c r="K161" s="273">
        <f t="shared" si="8"/>
        <v>0</v>
      </c>
      <c r="L161" s="289"/>
      <c r="M161" s="273">
        <v>0</v>
      </c>
      <c r="N161" s="273">
        <v>0</v>
      </c>
      <c r="O161" s="273">
        <v>0</v>
      </c>
      <c r="P161" s="273">
        <f t="shared" si="9"/>
        <v>0</v>
      </c>
      <c r="Q161" s="37"/>
      <c r="R161" s="369">
        <v>0</v>
      </c>
      <c r="S161" s="369">
        <v>0</v>
      </c>
      <c r="T161" s="369">
        <f t="shared" si="7"/>
        <v>0</v>
      </c>
    </row>
    <row r="162" spans="1:20">
      <c r="A162" s="231">
        <v>2314</v>
      </c>
      <c r="B162" s="4">
        <v>103334</v>
      </c>
      <c r="C162" s="4" t="s">
        <v>848</v>
      </c>
      <c r="D162" s="4" t="s">
        <v>849</v>
      </c>
      <c r="E162" s="213" t="s">
        <v>5</v>
      </c>
      <c r="F162" s="248" t="s">
        <v>411</v>
      </c>
      <c r="G162" s="37"/>
      <c r="H162" s="273">
        <v>0</v>
      </c>
      <c r="I162" s="273">
        <v>0</v>
      </c>
      <c r="J162" s="273">
        <v>0</v>
      </c>
      <c r="K162" s="273">
        <f t="shared" si="8"/>
        <v>0</v>
      </c>
      <c r="L162" s="289"/>
      <c r="M162" s="273">
        <v>0</v>
      </c>
      <c r="N162" s="273">
        <v>0</v>
      </c>
      <c r="O162" s="273">
        <v>0</v>
      </c>
      <c r="P162" s="273">
        <f t="shared" si="9"/>
        <v>0</v>
      </c>
      <c r="Q162" s="37"/>
      <c r="R162" s="369">
        <v>0</v>
      </c>
      <c r="S162" s="369">
        <v>0</v>
      </c>
      <c r="T162" s="369">
        <f t="shared" si="7"/>
        <v>0</v>
      </c>
    </row>
    <row r="163" spans="1:20">
      <c r="A163" s="231">
        <v>2227</v>
      </c>
      <c r="B163" s="4">
        <v>103281</v>
      </c>
      <c r="C163" s="4" t="s">
        <v>851</v>
      </c>
      <c r="D163" s="4" t="s">
        <v>852</v>
      </c>
      <c r="E163" s="213" t="s">
        <v>5</v>
      </c>
      <c r="F163" s="248" t="s">
        <v>411</v>
      </c>
      <c r="G163" s="37"/>
      <c r="H163" s="273">
        <v>0</v>
      </c>
      <c r="I163" s="273">
        <v>0</v>
      </c>
      <c r="J163" s="273">
        <v>0</v>
      </c>
      <c r="K163" s="273">
        <f t="shared" si="8"/>
        <v>0</v>
      </c>
      <c r="L163" s="289"/>
      <c r="M163" s="273">
        <v>0</v>
      </c>
      <c r="N163" s="273">
        <v>0</v>
      </c>
      <c r="O163" s="273">
        <v>0</v>
      </c>
      <c r="P163" s="273">
        <f t="shared" si="9"/>
        <v>0</v>
      </c>
      <c r="Q163" s="37"/>
      <c r="R163" s="369">
        <v>0</v>
      </c>
      <c r="S163" s="369">
        <v>0</v>
      </c>
      <c r="T163" s="369">
        <f t="shared" si="7"/>
        <v>0</v>
      </c>
    </row>
    <row r="164" spans="1:20">
      <c r="A164" s="231">
        <v>2231</v>
      </c>
      <c r="B164" s="4">
        <v>103284</v>
      </c>
      <c r="C164" s="4" t="s">
        <v>854</v>
      </c>
      <c r="D164" s="4" t="s">
        <v>855</v>
      </c>
      <c r="E164" s="213" t="s">
        <v>5</v>
      </c>
      <c r="F164" s="248" t="s">
        <v>411</v>
      </c>
      <c r="G164" s="37"/>
      <c r="H164" s="273">
        <v>0</v>
      </c>
      <c r="I164" s="273">
        <v>0</v>
      </c>
      <c r="J164" s="273">
        <v>0</v>
      </c>
      <c r="K164" s="273">
        <f t="shared" si="8"/>
        <v>0</v>
      </c>
      <c r="L164" s="289"/>
      <c r="M164" s="273">
        <v>0</v>
      </c>
      <c r="N164" s="273">
        <v>0</v>
      </c>
      <c r="O164" s="273">
        <v>0</v>
      </c>
      <c r="P164" s="273">
        <f t="shared" si="9"/>
        <v>0</v>
      </c>
      <c r="Q164" s="37"/>
      <c r="R164" s="369">
        <v>0</v>
      </c>
      <c r="S164" s="369">
        <v>0</v>
      </c>
      <c r="T164" s="369">
        <f t="shared" si="7"/>
        <v>0</v>
      </c>
    </row>
    <row r="165" spans="1:20">
      <c r="A165" s="231">
        <v>2153</v>
      </c>
      <c r="B165" s="4">
        <v>103243</v>
      </c>
      <c r="C165" s="4" t="s">
        <v>414</v>
      </c>
      <c r="D165" s="4" t="s">
        <v>416</v>
      </c>
      <c r="E165" s="213" t="s">
        <v>5</v>
      </c>
      <c r="F165" s="248" t="s">
        <v>415</v>
      </c>
      <c r="G165" s="37"/>
      <c r="H165" s="273">
        <v>0</v>
      </c>
      <c r="I165" s="273">
        <v>0</v>
      </c>
      <c r="J165" s="273">
        <v>0</v>
      </c>
      <c r="K165" s="273">
        <f t="shared" si="8"/>
        <v>0</v>
      </c>
      <c r="L165" s="289"/>
      <c r="M165" s="273">
        <v>0</v>
      </c>
      <c r="N165" s="273">
        <v>0</v>
      </c>
      <c r="O165" s="273">
        <v>0</v>
      </c>
      <c r="P165" s="273">
        <f t="shared" si="9"/>
        <v>0</v>
      </c>
      <c r="Q165" s="37"/>
      <c r="R165" s="369">
        <v>397189.42307692312</v>
      </c>
      <c r="S165" s="369">
        <v>248000</v>
      </c>
      <c r="T165" s="369">
        <f t="shared" si="7"/>
        <v>645189.42307692312</v>
      </c>
    </row>
    <row r="166" spans="1:20">
      <c r="A166" s="231">
        <v>2479</v>
      </c>
      <c r="B166" s="4">
        <v>132074</v>
      </c>
      <c r="C166" s="4" t="s">
        <v>418</v>
      </c>
      <c r="D166" s="4" t="s">
        <v>419</v>
      </c>
      <c r="E166" s="213" t="s">
        <v>5</v>
      </c>
      <c r="F166" s="248" t="s">
        <v>415</v>
      </c>
      <c r="G166" s="37"/>
      <c r="H166" s="273">
        <v>0</v>
      </c>
      <c r="I166" s="273">
        <v>0</v>
      </c>
      <c r="J166" s="273">
        <v>0</v>
      </c>
      <c r="K166" s="273">
        <f t="shared" si="8"/>
        <v>0</v>
      </c>
      <c r="L166" s="289"/>
      <c r="M166" s="273">
        <v>0</v>
      </c>
      <c r="N166" s="273">
        <v>0</v>
      </c>
      <c r="O166" s="273">
        <v>0</v>
      </c>
      <c r="P166" s="273">
        <f t="shared" si="9"/>
        <v>0</v>
      </c>
      <c r="Q166" s="37"/>
      <c r="R166" s="369">
        <v>101678.26846153845</v>
      </c>
      <c r="S166" s="369">
        <v>64000</v>
      </c>
      <c r="T166" s="369">
        <f t="shared" si="7"/>
        <v>165678.26846153845</v>
      </c>
    </row>
    <row r="167" spans="1:20">
      <c r="A167" s="231">
        <v>2239</v>
      </c>
      <c r="B167" s="4">
        <v>103289</v>
      </c>
      <c r="C167" s="4" t="s">
        <v>421</v>
      </c>
      <c r="D167" s="4" t="s">
        <v>422</v>
      </c>
      <c r="E167" s="213" t="s">
        <v>5</v>
      </c>
      <c r="F167" s="248" t="s">
        <v>415</v>
      </c>
      <c r="G167" s="37"/>
      <c r="H167" s="273">
        <v>0</v>
      </c>
      <c r="I167" s="273">
        <v>0</v>
      </c>
      <c r="J167" s="273">
        <v>0</v>
      </c>
      <c r="K167" s="273">
        <f t="shared" si="8"/>
        <v>0</v>
      </c>
      <c r="L167" s="289"/>
      <c r="M167" s="273">
        <v>0</v>
      </c>
      <c r="N167" s="273">
        <v>0</v>
      </c>
      <c r="O167" s="273">
        <v>0</v>
      </c>
      <c r="P167" s="273">
        <f t="shared" si="9"/>
        <v>0</v>
      </c>
      <c r="Q167" s="37"/>
      <c r="R167" s="369">
        <v>0</v>
      </c>
      <c r="S167" s="369">
        <v>0</v>
      </c>
      <c r="T167" s="369">
        <f t="shared" si="7"/>
        <v>0</v>
      </c>
    </row>
    <row r="168" spans="1:20">
      <c r="A168" s="231">
        <v>2435</v>
      </c>
      <c r="B168" s="4">
        <v>103362</v>
      </c>
      <c r="C168" s="4" t="s">
        <v>424</v>
      </c>
      <c r="D168" s="4" t="s">
        <v>425</v>
      </c>
      <c r="E168" s="213" t="s">
        <v>5</v>
      </c>
      <c r="F168" s="248" t="s">
        <v>415</v>
      </c>
      <c r="G168" s="37"/>
      <c r="H168" s="273">
        <v>0</v>
      </c>
      <c r="I168" s="273">
        <v>0</v>
      </c>
      <c r="J168" s="273">
        <v>0</v>
      </c>
      <c r="K168" s="273">
        <f t="shared" si="8"/>
        <v>0</v>
      </c>
      <c r="L168" s="289"/>
      <c r="M168" s="273">
        <v>0</v>
      </c>
      <c r="N168" s="273">
        <v>0</v>
      </c>
      <c r="O168" s="273">
        <v>0</v>
      </c>
      <c r="P168" s="273">
        <f t="shared" si="9"/>
        <v>0</v>
      </c>
      <c r="Q168" s="37"/>
      <c r="R168" s="369">
        <v>0</v>
      </c>
      <c r="S168" s="369">
        <v>0</v>
      </c>
      <c r="T168" s="369">
        <f t="shared" si="7"/>
        <v>0</v>
      </c>
    </row>
    <row r="169" spans="1:20">
      <c r="A169" s="231">
        <v>1001</v>
      </c>
      <c r="B169" s="4">
        <v>103120</v>
      </c>
      <c r="C169" s="4" t="s">
        <v>427</v>
      </c>
      <c r="D169" s="4" t="s">
        <v>428</v>
      </c>
      <c r="E169" s="213" t="s">
        <v>180</v>
      </c>
      <c r="F169" s="248" t="s">
        <v>415</v>
      </c>
      <c r="G169" s="37"/>
      <c r="H169" s="273">
        <v>0</v>
      </c>
      <c r="I169" s="273">
        <v>0</v>
      </c>
      <c r="J169" s="273">
        <v>0</v>
      </c>
      <c r="K169" s="273">
        <f t="shared" si="8"/>
        <v>0</v>
      </c>
      <c r="L169" s="289"/>
      <c r="M169" s="273">
        <v>0</v>
      </c>
      <c r="N169" s="273">
        <v>0</v>
      </c>
      <c r="O169" s="273">
        <v>0</v>
      </c>
      <c r="P169" s="273">
        <f t="shared" si="9"/>
        <v>0</v>
      </c>
      <c r="Q169" s="37"/>
      <c r="R169" s="369">
        <v>0</v>
      </c>
      <c r="S169" s="369">
        <v>0</v>
      </c>
      <c r="T169" s="369">
        <f t="shared" si="7"/>
        <v>0</v>
      </c>
    </row>
    <row r="170" spans="1:20">
      <c r="A170" s="231">
        <v>7030</v>
      </c>
      <c r="B170" s="4">
        <v>103611</v>
      </c>
      <c r="C170" s="4" t="s">
        <v>430</v>
      </c>
      <c r="D170" s="4" t="s">
        <v>431</v>
      </c>
      <c r="E170" s="213" t="s">
        <v>1093</v>
      </c>
      <c r="F170" s="248" t="s">
        <v>415</v>
      </c>
      <c r="G170" s="37"/>
      <c r="H170" s="273">
        <v>812558.56</v>
      </c>
      <c r="I170" s="273">
        <v>701461.85359204817</v>
      </c>
      <c r="J170" s="273">
        <v>50160</v>
      </c>
      <c r="K170" s="273">
        <f t="shared" si="8"/>
        <v>1564180.4135920482</v>
      </c>
      <c r="L170" s="289"/>
      <c r="M170" s="273">
        <v>812558.56</v>
      </c>
      <c r="N170" s="273">
        <v>701461.85359204817</v>
      </c>
      <c r="O170" s="273">
        <v>50160</v>
      </c>
      <c r="P170" s="273">
        <f t="shared" si="9"/>
        <v>1564180.4135920482</v>
      </c>
      <c r="Q170" s="37"/>
      <c r="R170" s="369">
        <v>0</v>
      </c>
      <c r="S170" s="369">
        <v>0</v>
      </c>
      <c r="T170" s="369">
        <f t="shared" si="7"/>
        <v>0</v>
      </c>
    </row>
    <row r="171" spans="1:20">
      <c r="A171" s="231">
        <v>2465</v>
      </c>
      <c r="B171" s="4">
        <v>103391</v>
      </c>
      <c r="C171" s="4" t="s">
        <v>433</v>
      </c>
      <c r="D171" s="4" t="s">
        <v>434</v>
      </c>
      <c r="E171" s="213" t="s">
        <v>5</v>
      </c>
      <c r="F171" s="248" t="s">
        <v>415</v>
      </c>
      <c r="G171" s="37"/>
      <c r="H171" s="273">
        <v>0</v>
      </c>
      <c r="I171" s="273">
        <v>0</v>
      </c>
      <c r="J171" s="273">
        <v>0</v>
      </c>
      <c r="K171" s="273">
        <f t="shared" si="8"/>
        <v>0</v>
      </c>
      <c r="L171" s="289"/>
      <c r="M171" s="273">
        <v>0</v>
      </c>
      <c r="N171" s="273">
        <v>0</v>
      </c>
      <c r="O171" s="273">
        <v>0</v>
      </c>
      <c r="P171" s="273">
        <f t="shared" si="9"/>
        <v>0</v>
      </c>
      <c r="Q171" s="37"/>
      <c r="R171" s="369">
        <v>0</v>
      </c>
      <c r="S171" s="369">
        <v>0</v>
      </c>
      <c r="T171" s="369">
        <f t="shared" si="7"/>
        <v>0</v>
      </c>
    </row>
    <row r="172" spans="1:20">
      <c r="A172" s="231">
        <v>2040</v>
      </c>
      <c r="B172" s="4">
        <v>103178</v>
      </c>
      <c r="C172" s="4" t="s">
        <v>436</v>
      </c>
      <c r="D172" s="4" t="s">
        <v>437</v>
      </c>
      <c r="E172" s="213" t="s">
        <v>5</v>
      </c>
      <c r="F172" s="248" t="s">
        <v>415</v>
      </c>
      <c r="G172" s="37"/>
      <c r="H172" s="273">
        <v>0</v>
      </c>
      <c r="I172" s="273">
        <v>0</v>
      </c>
      <c r="J172" s="273">
        <v>0</v>
      </c>
      <c r="K172" s="273">
        <f t="shared" si="8"/>
        <v>0</v>
      </c>
      <c r="L172" s="289"/>
      <c r="M172" s="273">
        <v>0</v>
      </c>
      <c r="N172" s="273">
        <v>0</v>
      </c>
      <c r="O172" s="273">
        <v>0</v>
      </c>
      <c r="P172" s="273">
        <f t="shared" si="9"/>
        <v>0</v>
      </c>
      <c r="Q172" s="37"/>
      <c r="R172" s="369">
        <v>131734.61538461538</v>
      </c>
      <c r="S172" s="369">
        <v>100000</v>
      </c>
      <c r="T172" s="369">
        <f t="shared" si="7"/>
        <v>231734.61538461538</v>
      </c>
    </row>
    <row r="173" spans="1:20">
      <c r="A173" s="231">
        <v>1100</v>
      </c>
      <c r="B173" s="4">
        <v>103146</v>
      </c>
      <c r="C173" s="4" t="s">
        <v>439</v>
      </c>
      <c r="D173" s="4" t="s">
        <v>440</v>
      </c>
      <c r="E173" s="213" t="s">
        <v>1094</v>
      </c>
      <c r="F173" s="248" t="s">
        <v>415</v>
      </c>
      <c r="G173" s="37"/>
      <c r="H173" s="273">
        <v>0</v>
      </c>
      <c r="I173" s="273">
        <v>0</v>
      </c>
      <c r="J173" s="273">
        <v>0</v>
      </c>
      <c r="K173" s="273">
        <f t="shared" si="8"/>
        <v>0</v>
      </c>
      <c r="L173" s="289"/>
      <c r="M173" s="273">
        <v>6600000</v>
      </c>
      <c r="N173" s="273">
        <v>5720184</v>
      </c>
      <c r="O173" s="273">
        <v>0</v>
      </c>
      <c r="P173" s="273">
        <f t="shared" si="9"/>
        <v>12320184</v>
      </c>
      <c r="Q173" s="37"/>
      <c r="R173" s="369">
        <v>0</v>
      </c>
      <c r="S173" s="369">
        <v>0</v>
      </c>
      <c r="T173" s="369">
        <f t="shared" si="7"/>
        <v>0</v>
      </c>
    </row>
    <row r="174" spans="1:20">
      <c r="A174" s="231">
        <v>3432</v>
      </c>
      <c r="B174" s="4">
        <v>134840</v>
      </c>
      <c r="C174" s="4" t="s">
        <v>442</v>
      </c>
      <c r="D174" s="4" t="s">
        <v>443</v>
      </c>
      <c r="E174" s="213" t="s">
        <v>5</v>
      </c>
      <c r="F174" s="248" t="s">
        <v>415</v>
      </c>
      <c r="G174" s="37"/>
      <c r="H174" s="273">
        <v>0</v>
      </c>
      <c r="I174" s="273">
        <v>0</v>
      </c>
      <c r="J174" s="273">
        <v>0</v>
      </c>
      <c r="K174" s="273">
        <f t="shared" si="8"/>
        <v>0</v>
      </c>
      <c r="L174" s="289"/>
      <c r="M174" s="273">
        <v>0</v>
      </c>
      <c r="N174" s="273">
        <v>0</v>
      </c>
      <c r="O174" s="273">
        <v>0</v>
      </c>
      <c r="P174" s="273">
        <f t="shared" si="9"/>
        <v>0</v>
      </c>
      <c r="Q174" s="37"/>
      <c r="R174" s="369">
        <v>0</v>
      </c>
      <c r="S174" s="369">
        <v>0</v>
      </c>
      <c r="T174" s="369">
        <f t="shared" si="7"/>
        <v>0</v>
      </c>
    </row>
    <row r="175" spans="1:20">
      <c r="A175" s="231">
        <v>2185</v>
      </c>
      <c r="B175" s="4">
        <v>103263</v>
      </c>
      <c r="C175" s="4" t="s">
        <v>445</v>
      </c>
      <c r="D175" s="4" t="s">
        <v>446</v>
      </c>
      <c r="E175" s="213" t="s">
        <v>5</v>
      </c>
      <c r="F175" s="248" t="s">
        <v>415</v>
      </c>
      <c r="G175" s="37"/>
      <c r="H175" s="273">
        <v>0</v>
      </c>
      <c r="I175" s="273">
        <v>0</v>
      </c>
      <c r="J175" s="273">
        <v>0</v>
      </c>
      <c r="K175" s="273">
        <f t="shared" si="8"/>
        <v>0</v>
      </c>
      <c r="L175" s="289"/>
      <c r="M175" s="273">
        <v>0</v>
      </c>
      <c r="N175" s="273">
        <v>0</v>
      </c>
      <c r="O175" s="273">
        <v>0</v>
      </c>
      <c r="P175" s="273">
        <f t="shared" si="9"/>
        <v>0</v>
      </c>
      <c r="Q175" s="37"/>
      <c r="R175" s="369">
        <v>0</v>
      </c>
      <c r="S175" s="369">
        <v>0</v>
      </c>
      <c r="T175" s="369">
        <f t="shared" si="7"/>
        <v>0</v>
      </c>
    </row>
    <row r="176" spans="1:20">
      <c r="A176" s="231">
        <v>2464</v>
      </c>
      <c r="B176" s="4">
        <v>103390</v>
      </c>
      <c r="C176" s="4" t="s">
        <v>448</v>
      </c>
      <c r="D176" s="4" t="s">
        <v>449</v>
      </c>
      <c r="E176" s="213" t="s">
        <v>5</v>
      </c>
      <c r="F176" s="248" t="s">
        <v>415</v>
      </c>
      <c r="G176" s="37"/>
      <c r="H176" s="273">
        <v>0</v>
      </c>
      <c r="I176" s="273">
        <v>0</v>
      </c>
      <c r="J176" s="273">
        <v>0</v>
      </c>
      <c r="K176" s="273">
        <f t="shared" si="8"/>
        <v>0</v>
      </c>
      <c r="L176" s="289"/>
      <c r="M176" s="273">
        <v>0</v>
      </c>
      <c r="N176" s="273">
        <v>0</v>
      </c>
      <c r="O176" s="273">
        <v>0</v>
      </c>
      <c r="P176" s="273">
        <f t="shared" si="9"/>
        <v>0</v>
      </c>
      <c r="Q176" s="37"/>
      <c r="R176" s="369">
        <v>0</v>
      </c>
      <c r="S176" s="369">
        <v>0</v>
      </c>
      <c r="T176" s="369">
        <f t="shared" si="7"/>
        <v>0</v>
      </c>
    </row>
    <row r="177" spans="1:20">
      <c r="A177" s="231">
        <v>2454</v>
      </c>
      <c r="B177" s="4">
        <v>103381</v>
      </c>
      <c r="C177" s="4" t="s">
        <v>454</v>
      </c>
      <c r="D177" s="4" t="s">
        <v>455</v>
      </c>
      <c r="E177" s="213" t="s">
        <v>5</v>
      </c>
      <c r="F177" s="248" t="s">
        <v>415</v>
      </c>
      <c r="G177" s="37"/>
      <c r="H177" s="273">
        <v>0</v>
      </c>
      <c r="I177" s="273">
        <v>0</v>
      </c>
      <c r="J177" s="273">
        <v>0</v>
      </c>
      <c r="K177" s="273">
        <f t="shared" si="8"/>
        <v>0</v>
      </c>
      <c r="L177" s="289"/>
      <c r="M177" s="273">
        <v>0</v>
      </c>
      <c r="N177" s="273">
        <v>0</v>
      </c>
      <c r="O177" s="273">
        <v>0</v>
      </c>
      <c r="P177" s="273">
        <f t="shared" si="9"/>
        <v>0</v>
      </c>
      <c r="Q177" s="37"/>
      <c r="R177" s="369">
        <v>0</v>
      </c>
      <c r="S177" s="369">
        <v>0</v>
      </c>
      <c r="T177" s="369">
        <f t="shared" si="7"/>
        <v>0</v>
      </c>
    </row>
    <row r="178" spans="1:20">
      <c r="A178" s="231">
        <v>3321</v>
      </c>
      <c r="B178" s="4">
        <v>103425</v>
      </c>
      <c r="C178" s="4" t="s">
        <v>457</v>
      </c>
      <c r="D178" s="4" t="s">
        <v>458</v>
      </c>
      <c r="E178" s="213" t="s">
        <v>5</v>
      </c>
      <c r="F178" s="248" t="s">
        <v>415</v>
      </c>
      <c r="G178" s="37"/>
      <c r="H178" s="273">
        <v>0</v>
      </c>
      <c r="I178" s="273">
        <v>0</v>
      </c>
      <c r="J178" s="273">
        <v>0</v>
      </c>
      <c r="K178" s="273">
        <f t="shared" si="8"/>
        <v>0</v>
      </c>
      <c r="L178" s="289"/>
      <c r="M178" s="273">
        <v>0</v>
      </c>
      <c r="N178" s="273">
        <v>0</v>
      </c>
      <c r="O178" s="273">
        <v>0</v>
      </c>
      <c r="P178" s="273">
        <f t="shared" si="9"/>
        <v>0</v>
      </c>
      <c r="Q178" s="37"/>
      <c r="R178" s="369">
        <v>0</v>
      </c>
      <c r="S178" s="369">
        <v>0</v>
      </c>
      <c r="T178" s="369">
        <f t="shared" si="7"/>
        <v>0</v>
      </c>
    </row>
    <row r="179" spans="1:20">
      <c r="A179" s="231">
        <v>3435</v>
      </c>
      <c r="B179" s="4">
        <v>131920</v>
      </c>
      <c r="C179" s="4" t="s">
        <v>460</v>
      </c>
      <c r="D179" s="4" t="s">
        <v>461</v>
      </c>
      <c r="E179" s="213" t="s">
        <v>5</v>
      </c>
      <c r="F179" s="248" t="s">
        <v>415</v>
      </c>
      <c r="G179" s="37"/>
      <c r="H179" s="273">
        <v>0</v>
      </c>
      <c r="I179" s="273">
        <v>0</v>
      </c>
      <c r="J179" s="273">
        <v>0</v>
      </c>
      <c r="K179" s="273">
        <f t="shared" si="8"/>
        <v>0</v>
      </c>
      <c r="L179" s="289"/>
      <c r="M179" s="273">
        <v>0</v>
      </c>
      <c r="N179" s="273">
        <v>0</v>
      </c>
      <c r="O179" s="273">
        <v>0</v>
      </c>
      <c r="P179" s="273">
        <f t="shared" si="9"/>
        <v>0</v>
      </c>
      <c r="Q179" s="37"/>
      <c r="R179" s="369">
        <v>0</v>
      </c>
      <c r="S179" s="369">
        <v>0</v>
      </c>
      <c r="T179" s="369">
        <f t="shared" si="7"/>
        <v>0</v>
      </c>
    </row>
    <row r="180" spans="1:20">
      <c r="A180" s="231">
        <v>7050</v>
      </c>
      <c r="B180" s="4">
        <v>103625</v>
      </c>
      <c r="C180" s="4" t="s">
        <v>463</v>
      </c>
      <c r="D180" s="4" t="s">
        <v>464</v>
      </c>
      <c r="E180" s="213" t="s">
        <v>1093</v>
      </c>
      <c r="F180" s="248" t="s">
        <v>415</v>
      </c>
      <c r="G180" s="37"/>
      <c r="H180" s="273">
        <v>1176071.6000000001</v>
      </c>
      <c r="I180" s="273">
        <v>1462520.7713289009</v>
      </c>
      <c r="J180" s="273">
        <v>72600</v>
      </c>
      <c r="K180" s="273">
        <f t="shared" si="8"/>
        <v>2711192.371328901</v>
      </c>
      <c r="L180" s="289"/>
      <c r="M180" s="273">
        <v>1176071.6000000001</v>
      </c>
      <c r="N180" s="273">
        <v>1689320.7713289009</v>
      </c>
      <c r="O180" s="273">
        <v>72600</v>
      </c>
      <c r="P180" s="273">
        <f t="shared" si="9"/>
        <v>2937992.371328901</v>
      </c>
      <c r="Q180" s="37"/>
      <c r="R180" s="369">
        <v>0</v>
      </c>
      <c r="S180" s="369">
        <v>0</v>
      </c>
      <c r="T180" s="369">
        <f t="shared" si="7"/>
        <v>0</v>
      </c>
    </row>
    <row r="181" spans="1:20">
      <c r="A181" s="231">
        <v>2081</v>
      </c>
      <c r="B181" s="4">
        <v>103201</v>
      </c>
      <c r="C181" s="4" t="s">
        <v>466</v>
      </c>
      <c r="D181" s="4" t="s">
        <v>467</v>
      </c>
      <c r="E181" s="213" t="s">
        <v>5</v>
      </c>
      <c r="F181" s="248" t="s">
        <v>415</v>
      </c>
      <c r="G181" s="37"/>
      <c r="H181" s="273">
        <v>0</v>
      </c>
      <c r="I181" s="273">
        <v>0</v>
      </c>
      <c r="J181" s="273">
        <v>0</v>
      </c>
      <c r="K181" s="273">
        <f t="shared" si="8"/>
        <v>0</v>
      </c>
      <c r="L181" s="289"/>
      <c r="M181" s="273">
        <v>0</v>
      </c>
      <c r="N181" s="273">
        <v>0</v>
      </c>
      <c r="O181" s="273">
        <v>0</v>
      </c>
      <c r="P181" s="273">
        <f t="shared" si="9"/>
        <v>0</v>
      </c>
      <c r="Q181" s="37"/>
      <c r="R181" s="369">
        <v>0</v>
      </c>
      <c r="S181" s="369">
        <v>0</v>
      </c>
      <c r="T181" s="369">
        <f t="shared" si="7"/>
        <v>0</v>
      </c>
    </row>
    <row r="182" spans="1:20">
      <c r="A182" s="231">
        <v>2093</v>
      </c>
      <c r="B182" s="4">
        <v>103210</v>
      </c>
      <c r="C182" s="4" t="s">
        <v>469</v>
      </c>
      <c r="D182" s="4" t="s">
        <v>470</v>
      </c>
      <c r="E182" s="213" t="s">
        <v>5</v>
      </c>
      <c r="F182" s="248" t="s">
        <v>415</v>
      </c>
      <c r="G182" s="37"/>
      <c r="H182" s="273">
        <v>0</v>
      </c>
      <c r="I182" s="273">
        <v>0</v>
      </c>
      <c r="J182" s="273">
        <v>0</v>
      </c>
      <c r="K182" s="273">
        <f t="shared" si="8"/>
        <v>0</v>
      </c>
      <c r="L182" s="289"/>
      <c r="M182" s="273">
        <v>0</v>
      </c>
      <c r="N182" s="273">
        <v>0</v>
      </c>
      <c r="O182" s="273">
        <v>0</v>
      </c>
      <c r="P182" s="273">
        <f t="shared" si="9"/>
        <v>0</v>
      </c>
      <c r="Q182" s="37"/>
      <c r="R182" s="369">
        <v>0</v>
      </c>
      <c r="S182" s="369">
        <v>0</v>
      </c>
      <c r="T182" s="369">
        <f t="shared" si="7"/>
        <v>0</v>
      </c>
    </row>
    <row r="183" spans="1:20">
      <c r="A183" s="231">
        <v>2099</v>
      </c>
      <c r="B183" s="4">
        <v>103214</v>
      </c>
      <c r="C183" s="4" t="s">
        <v>472</v>
      </c>
      <c r="D183" s="4" t="s">
        <v>473</v>
      </c>
      <c r="E183" s="213" t="s">
        <v>5</v>
      </c>
      <c r="F183" s="248" t="s">
        <v>415</v>
      </c>
      <c r="G183" s="37"/>
      <c r="H183" s="273">
        <v>0</v>
      </c>
      <c r="I183" s="273">
        <v>0</v>
      </c>
      <c r="J183" s="273">
        <v>0</v>
      </c>
      <c r="K183" s="273">
        <f t="shared" si="8"/>
        <v>0</v>
      </c>
      <c r="L183" s="289"/>
      <c r="M183" s="273">
        <v>0</v>
      </c>
      <c r="N183" s="273">
        <v>0</v>
      </c>
      <c r="O183" s="273">
        <v>0</v>
      </c>
      <c r="P183" s="273">
        <f t="shared" si="9"/>
        <v>0</v>
      </c>
      <c r="Q183" s="37"/>
      <c r="R183" s="369">
        <v>119198.79203076924</v>
      </c>
      <c r="S183" s="369">
        <v>76000</v>
      </c>
      <c r="T183" s="369">
        <f t="shared" si="7"/>
        <v>195198.79203076923</v>
      </c>
    </row>
    <row r="184" spans="1:20">
      <c r="A184" s="231">
        <v>2189</v>
      </c>
      <c r="B184" s="4">
        <v>103265</v>
      </c>
      <c r="C184" s="4" t="s">
        <v>475</v>
      </c>
      <c r="D184" s="4" t="s">
        <v>476</v>
      </c>
      <c r="E184" s="213" t="s">
        <v>5</v>
      </c>
      <c r="F184" s="248" t="s">
        <v>415</v>
      </c>
      <c r="G184" s="37"/>
      <c r="H184" s="273">
        <v>0</v>
      </c>
      <c r="I184" s="273">
        <v>0</v>
      </c>
      <c r="J184" s="273">
        <v>0</v>
      </c>
      <c r="K184" s="273">
        <f t="shared" si="8"/>
        <v>0</v>
      </c>
      <c r="L184" s="289"/>
      <c r="M184" s="273">
        <v>0</v>
      </c>
      <c r="N184" s="273">
        <v>0</v>
      </c>
      <c r="O184" s="273">
        <v>0</v>
      </c>
      <c r="P184" s="273">
        <f t="shared" si="9"/>
        <v>0</v>
      </c>
      <c r="Q184" s="37"/>
      <c r="R184" s="369">
        <v>0</v>
      </c>
      <c r="S184" s="369">
        <v>0</v>
      </c>
      <c r="T184" s="369">
        <f t="shared" si="7"/>
        <v>0</v>
      </c>
    </row>
    <row r="185" spans="1:20">
      <c r="A185" s="231">
        <v>7060</v>
      </c>
      <c r="B185" s="4">
        <v>103630</v>
      </c>
      <c r="C185" s="4" t="s">
        <v>478</v>
      </c>
      <c r="D185" s="4" t="s">
        <v>479</v>
      </c>
      <c r="E185" s="213" t="s">
        <v>1093</v>
      </c>
      <c r="F185" s="248" t="s">
        <v>415</v>
      </c>
      <c r="G185" s="37"/>
      <c r="H185" s="273">
        <v>1229529.4000000001</v>
      </c>
      <c r="I185" s="273">
        <v>1067084.08162905</v>
      </c>
      <c r="J185" s="273">
        <v>75900</v>
      </c>
      <c r="K185" s="273">
        <f t="shared" si="8"/>
        <v>2372513.4816290503</v>
      </c>
      <c r="L185" s="289"/>
      <c r="M185" s="273">
        <v>1229529.4000000001</v>
      </c>
      <c r="N185" s="273">
        <v>1067084.08162905</v>
      </c>
      <c r="O185" s="273">
        <v>75900</v>
      </c>
      <c r="P185" s="273">
        <f t="shared" si="9"/>
        <v>2372513.4816290503</v>
      </c>
      <c r="Q185" s="37"/>
      <c r="R185" s="369">
        <v>0</v>
      </c>
      <c r="S185" s="369">
        <v>0</v>
      </c>
      <c r="T185" s="369">
        <f t="shared" si="7"/>
        <v>0</v>
      </c>
    </row>
    <row r="186" spans="1:20">
      <c r="A186" s="231">
        <v>7012</v>
      </c>
      <c r="B186" s="4">
        <v>103603</v>
      </c>
      <c r="C186" s="4" t="s">
        <v>481</v>
      </c>
      <c r="D186" s="4" t="s">
        <v>482</v>
      </c>
      <c r="E186" s="213" t="s">
        <v>1093</v>
      </c>
      <c r="F186" s="248" t="s">
        <v>415</v>
      </c>
      <c r="G186" s="37"/>
      <c r="H186" s="273">
        <v>694951.4</v>
      </c>
      <c r="I186" s="273">
        <v>542737.11627906864</v>
      </c>
      <c r="J186" s="273">
        <v>42900</v>
      </c>
      <c r="K186" s="273">
        <f t="shared" si="8"/>
        <v>1280588.5162790688</v>
      </c>
      <c r="L186" s="289"/>
      <c r="M186" s="273">
        <v>694951.4</v>
      </c>
      <c r="N186" s="273">
        <v>542737.11627906864</v>
      </c>
      <c r="O186" s="273">
        <v>42900</v>
      </c>
      <c r="P186" s="273">
        <f t="shared" si="9"/>
        <v>1280588.5162790688</v>
      </c>
      <c r="Q186" s="37"/>
      <c r="R186" s="369">
        <v>0</v>
      </c>
      <c r="S186" s="369">
        <v>0</v>
      </c>
      <c r="T186" s="369">
        <f t="shared" si="7"/>
        <v>0</v>
      </c>
    </row>
    <row r="187" spans="1:20">
      <c r="A187" s="231">
        <v>2420</v>
      </c>
      <c r="B187" s="4">
        <v>103353</v>
      </c>
      <c r="C187" s="4" t="s">
        <v>484</v>
      </c>
      <c r="D187" s="4" t="s">
        <v>485</v>
      </c>
      <c r="E187" s="213" t="s">
        <v>5</v>
      </c>
      <c r="F187" s="248" t="s">
        <v>415</v>
      </c>
      <c r="G187" s="37"/>
      <c r="H187" s="273">
        <v>0</v>
      </c>
      <c r="I187" s="273">
        <v>0</v>
      </c>
      <c r="J187" s="273">
        <v>0</v>
      </c>
      <c r="K187" s="273">
        <f t="shared" si="8"/>
        <v>0</v>
      </c>
      <c r="L187" s="289"/>
      <c r="M187" s="273">
        <v>0</v>
      </c>
      <c r="N187" s="273">
        <v>0</v>
      </c>
      <c r="O187" s="273">
        <v>0</v>
      </c>
      <c r="P187" s="273">
        <f t="shared" si="9"/>
        <v>0</v>
      </c>
      <c r="Q187" s="37"/>
      <c r="R187" s="369">
        <v>0</v>
      </c>
      <c r="S187" s="369">
        <v>0</v>
      </c>
      <c r="T187" s="369">
        <f t="shared" si="7"/>
        <v>0</v>
      </c>
    </row>
    <row r="188" spans="1:20">
      <c r="A188" s="231">
        <v>2406</v>
      </c>
      <c r="B188" s="4">
        <v>103345</v>
      </c>
      <c r="C188" s="4" t="s">
        <v>487</v>
      </c>
      <c r="D188" s="4" t="s">
        <v>488</v>
      </c>
      <c r="E188" s="213" t="s">
        <v>5</v>
      </c>
      <c r="F188" s="248" t="s">
        <v>415</v>
      </c>
      <c r="G188" s="37"/>
      <c r="H188" s="273">
        <v>0</v>
      </c>
      <c r="I188" s="273">
        <v>0</v>
      </c>
      <c r="J188" s="273">
        <v>0</v>
      </c>
      <c r="K188" s="273">
        <f t="shared" si="8"/>
        <v>0</v>
      </c>
      <c r="L188" s="289"/>
      <c r="M188" s="273">
        <v>0</v>
      </c>
      <c r="N188" s="273">
        <v>0</v>
      </c>
      <c r="O188" s="273">
        <v>0</v>
      </c>
      <c r="P188" s="273">
        <f t="shared" si="9"/>
        <v>0</v>
      </c>
      <c r="Q188" s="37"/>
      <c r="R188" s="369">
        <v>0</v>
      </c>
      <c r="S188" s="369">
        <v>0</v>
      </c>
      <c r="T188" s="369">
        <f t="shared" si="7"/>
        <v>0</v>
      </c>
    </row>
    <row r="189" spans="1:20">
      <c r="A189" s="231">
        <v>3351</v>
      </c>
      <c r="B189" s="4">
        <v>103443</v>
      </c>
      <c r="C189" s="4" t="s">
        <v>490</v>
      </c>
      <c r="D189" s="4" t="s">
        <v>491</v>
      </c>
      <c r="E189" s="213" t="s">
        <v>5</v>
      </c>
      <c r="F189" s="248" t="s">
        <v>415</v>
      </c>
      <c r="G189" s="37"/>
      <c r="H189" s="273">
        <v>0</v>
      </c>
      <c r="I189" s="273">
        <v>0</v>
      </c>
      <c r="J189" s="273">
        <v>0</v>
      </c>
      <c r="K189" s="273">
        <f t="shared" si="8"/>
        <v>0</v>
      </c>
      <c r="L189" s="289"/>
      <c r="M189" s="273">
        <v>0</v>
      </c>
      <c r="N189" s="273">
        <v>0</v>
      </c>
      <c r="O189" s="273">
        <v>0</v>
      </c>
      <c r="P189" s="273">
        <f t="shared" si="9"/>
        <v>0</v>
      </c>
      <c r="Q189" s="37"/>
      <c r="R189" s="369">
        <v>0</v>
      </c>
      <c r="S189" s="369">
        <v>0</v>
      </c>
      <c r="T189" s="369">
        <f t="shared" si="7"/>
        <v>0</v>
      </c>
    </row>
    <row r="190" spans="1:20">
      <c r="A190" s="231">
        <v>3328</v>
      </c>
      <c r="B190" s="4">
        <v>103430</v>
      </c>
      <c r="C190" s="4" t="s">
        <v>493</v>
      </c>
      <c r="D190" s="4" t="s">
        <v>494</v>
      </c>
      <c r="E190" s="213" t="s">
        <v>5</v>
      </c>
      <c r="F190" s="248" t="s">
        <v>415</v>
      </c>
      <c r="G190" s="37"/>
      <c r="H190" s="273">
        <v>0</v>
      </c>
      <c r="I190" s="273">
        <v>0</v>
      </c>
      <c r="J190" s="273">
        <v>0</v>
      </c>
      <c r="K190" s="273">
        <f t="shared" si="8"/>
        <v>0</v>
      </c>
      <c r="L190" s="289"/>
      <c r="M190" s="273">
        <v>0</v>
      </c>
      <c r="N190" s="273">
        <v>0</v>
      </c>
      <c r="O190" s="273">
        <v>0</v>
      </c>
      <c r="P190" s="273">
        <f t="shared" si="9"/>
        <v>0</v>
      </c>
      <c r="Q190" s="37"/>
      <c r="R190" s="369">
        <v>0</v>
      </c>
      <c r="S190" s="369">
        <v>0</v>
      </c>
      <c r="T190" s="369">
        <f t="shared" si="7"/>
        <v>0</v>
      </c>
    </row>
    <row r="191" spans="1:20">
      <c r="A191" s="231">
        <v>2160</v>
      </c>
      <c r="B191" s="4">
        <v>103248</v>
      </c>
      <c r="C191" s="4" t="s">
        <v>496</v>
      </c>
      <c r="D191" s="4" t="s">
        <v>497</v>
      </c>
      <c r="E191" s="213" t="s">
        <v>5</v>
      </c>
      <c r="F191" s="248" t="s">
        <v>415</v>
      </c>
      <c r="G191" s="37"/>
      <c r="H191" s="273">
        <v>0</v>
      </c>
      <c r="I191" s="273">
        <v>0</v>
      </c>
      <c r="J191" s="273">
        <v>0</v>
      </c>
      <c r="K191" s="273">
        <f t="shared" si="8"/>
        <v>0</v>
      </c>
      <c r="L191" s="289"/>
      <c r="M191" s="273">
        <v>0</v>
      </c>
      <c r="N191" s="273">
        <v>0</v>
      </c>
      <c r="O191" s="273">
        <v>0</v>
      </c>
      <c r="P191" s="273">
        <f t="shared" si="9"/>
        <v>0</v>
      </c>
      <c r="Q191" s="37"/>
      <c r="R191" s="369">
        <v>0</v>
      </c>
      <c r="S191" s="369">
        <v>0</v>
      </c>
      <c r="T191" s="369">
        <f t="shared" si="7"/>
        <v>0</v>
      </c>
    </row>
    <row r="192" spans="1:20">
      <c r="A192" s="231">
        <v>2063</v>
      </c>
      <c r="B192" s="4">
        <v>103193</v>
      </c>
      <c r="C192" s="4" t="s">
        <v>499</v>
      </c>
      <c r="D192" s="4" t="s">
        <v>500</v>
      </c>
      <c r="E192" s="213" t="s">
        <v>5</v>
      </c>
      <c r="F192" s="248" t="s">
        <v>415</v>
      </c>
      <c r="G192" s="37"/>
      <c r="H192" s="273">
        <v>0</v>
      </c>
      <c r="I192" s="273">
        <v>0</v>
      </c>
      <c r="J192" s="273">
        <v>0</v>
      </c>
      <c r="K192" s="273">
        <f t="shared" si="8"/>
        <v>0</v>
      </c>
      <c r="L192" s="289"/>
      <c r="M192" s="273">
        <v>0</v>
      </c>
      <c r="N192" s="273">
        <v>0</v>
      </c>
      <c r="O192" s="273">
        <v>0</v>
      </c>
      <c r="P192" s="273">
        <f t="shared" si="9"/>
        <v>0</v>
      </c>
      <c r="Q192" s="37"/>
      <c r="R192" s="369">
        <v>0</v>
      </c>
      <c r="S192" s="369">
        <v>0</v>
      </c>
      <c r="T192" s="369">
        <f t="shared" si="7"/>
        <v>0</v>
      </c>
    </row>
    <row r="193" spans="1:20">
      <c r="A193" s="231">
        <v>2008</v>
      </c>
      <c r="B193" s="4">
        <v>103157</v>
      </c>
      <c r="C193" s="4" t="s">
        <v>502</v>
      </c>
      <c r="D193" s="4" t="s">
        <v>503</v>
      </c>
      <c r="E193" s="213" t="s">
        <v>5</v>
      </c>
      <c r="F193" s="248" t="s">
        <v>415</v>
      </c>
      <c r="G193" s="37"/>
      <c r="H193" s="273">
        <v>0</v>
      </c>
      <c r="I193" s="273">
        <v>0</v>
      </c>
      <c r="J193" s="273">
        <v>0</v>
      </c>
      <c r="K193" s="273">
        <f t="shared" si="8"/>
        <v>0</v>
      </c>
      <c r="L193" s="289"/>
      <c r="M193" s="273">
        <v>0</v>
      </c>
      <c r="N193" s="273">
        <v>0</v>
      </c>
      <c r="O193" s="273">
        <v>0</v>
      </c>
      <c r="P193" s="273">
        <f t="shared" si="9"/>
        <v>0</v>
      </c>
      <c r="Q193" s="37"/>
      <c r="R193" s="369">
        <v>0</v>
      </c>
      <c r="S193" s="369">
        <v>0</v>
      </c>
      <c r="T193" s="369">
        <f t="shared" si="7"/>
        <v>0</v>
      </c>
    </row>
    <row r="194" spans="1:20">
      <c r="A194" s="231">
        <v>2176</v>
      </c>
      <c r="B194" s="4">
        <v>103256</v>
      </c>
      <c r="C194" s="4" t="s">
        <v>505</v>
      </c>
      <c r="D194" s="4" t="s">
        <v>506</v>
      </c>
      <c r="E194" s="213" t="s">
        <v>5</v>
      </c>
      <c r="F194" s="248" t="s">
        <v>415</v>
      </c>
      <c r="G194" s="37"/>
      <c r="H194" s="273">
        <v>0</v>
      </c>
      <c r="I194" s="273">
        <v>0</v>
      </c>
      <c r="J194" s="273">
        <v>0</v>
      </c>
      <c r="K194" s="273">
        <f t="shared" si="8"/>
        <v>0</v>
      </c>
      <c r="L194" s="289"/>
      <c r="M194" s="273">
        <v>0</v>
      </c>
      <c r="N194" s="273">
        <v>0</v>
      </c>
      <c r="O194" s="273">
        <v>0</v>
      </c>
      <c r="P194" s="273">
        <f t="shared" si="9"/>
        <v>0</v>
      </c>
      <c r="Q194" s="37"/>
      <c r="R194" s="369">
        <v>0</v>
      </c>
      <c r="S194" s="369">
        <v>0</v>
      </c>
      <c r="T194" s="369">
        <f t="shared" si="7"/>
        <v>0</v>
      </c>
    </row>
    <row r="195" spans="1:20">
      <c r="A195" s="231">
        <v>3410</v>
      </c>
      <c r="B195" s="4">
        <v>103478</v>
      </c>
      <c r="C195" s="4" t="s">
        <v>508</v>
      </c>
      <c r="D195" s="4" t="s">
        <v>509</v>
      </c>
      <c r="E195" s="213" t="s">
        <v>5</v>
      </c>
      <c r="F195" s="248" t="s">
        <v>415</v>
      </c>
      <c r="G195" s="37"/>
      <c r="H195" s="273">
        <v>0</v>
      </c>
      <c r="I195" s="273">
        <v>0</v>
      </c>
      <c r="J195" s="273">
        <v>0</v>
      </c>
      <c r="K195" s="273">
        <f t="shared" si="8"/>
        <v>0</v>
      </c>
      <c r="L195" s="289"/>
      <c r="M195" s="273">
        <v>0</v>
      </c>
      <c r="N195" s="273">
        <v>0</v>
      </c>
      <c r="O195" s="273">
        <v>0</v>
      </c>
      <c r="P195" s="273">
        <f t="shared" si="9"/>
        <v>0</v>
      </c>
      <c r="Q195" s="37"/>
      <c r="R195" s="369">
        <v>0</v>
      </c>
      <c r="S195" s="369">
        <v>0</v>
      </c>
      <c r="T195" s="369">
        <f t="shared" si="7"/>
        <v>0</v>
      </c>
    </row>
    <row r="196" spans="1:20">
      <c r="A196" s="231">
        <v>3380</v>
      </c>
      <c r="B196" s="4">
        <v>103465</v>
      </c>
      <c r="C196" s="4" t="s">
        <v>511</v>
      </c>
      <c r="D196" s="4" t="s">
        <v>512</v>
      </c>
      <c r="E196" s="213" t="s">
        <v>5</v>
      </c>
      <c r="F196" s="248" t="s">
        <v>415</v>
      </c>
      <c r="G196" s="37"/>
      <c r="H196" s="273">
        <v>0</v>
      </c>
      <c r="I196" s="273">
        <v>0</v>
      </c>
      <c r="J196" s="273">
        <v>0</v>
      </c>
      <c r="K196" s="273">
        <f t="shared" si="8"/>
        <v>0</v>
      </c>
      <c r="L196" s="289"/>
      <c r="M196" s="273">
        <v>0</v>
      </c>
      <c r="N196" s="273">
        <v>0</v>
      </c>
      <c r="O196" s="273">
        <v>0</v>
      </c>
      <c r="P196" s="273">
        <f t="shared" si="9"/>
        <v>0</v>
      </c>
      <c r="Q196" s="37"/>
      <c r="R196" s="369">
        <v>0</v>
      </c>
      <c r="S196" s="369">
        <v>0</v>
      </c>
      <c r="T196" s="369">
        <f t="shared" si="7"/>
        <v>0</v>
      </c>
    </row>
    <row r="197" spans="1:20">
      <c r="A197" s="231">
        <v>3335</v>
      </c>
      <c r="B197" s="4">
        <v>103434</v>
      </c>
      <c r="C197" s="4" t="s">
        <v>514</v>
      </c>
      <c r="D197" s="4" t="s">
        <v>515</v>
      </c>
      <c r="E197" s="213" t="s">
        <v>5</v>
      </c>
      <c r="F197" s="248" t="s">
        <v>415</v>
      </c>
      <c r="G197" s="37"/>
      <c r="H197" s="273">
        <v>0</v>
      </c>
      <c r="I197" s="273">
        <v>0</v>
      </c>
      <c r="J197" s="273">
        <v>0</v>
      </c>
      <c r="K197" s="273">
        <f t="shared" si="8"/>
        <v>0</v>
      </c>
      <c r="L197" s="289"/>
      <c r="M197" s="273">
        <v>0</v>
      </c>
      <c r="N197" s="273">
        <v>0</v>
      </c>
      <c r="O197" s="273">
        <v>0</v>
      </c>
      <c r="P197" s="273">
        <f t="shared" si="9"/>
        <v>0</v>
      </c>
      <c r="Q197" s="37"/>
      <c r="R197" s="369">
        <v>0</v>
      </c>
      <c r="S197" s="369">
        <v>0</v>
      </c>
      <c r="T197" s="369">
        <f t="shared" si="7"/>
        <v>0</v>
      </c>
    </row>
    <row r="198" spans="1:20">
      <c r="A198" s="231">
        <v>3372</v>
      </c>
      <c r="B198" s="4">
        <v>103460</v>
      </c>
      <c r="C198" s="4" t="s">
        <v>517</v>
      </c>
      <c r="D198" s="4" t="s">
        <v>518</v>
      </c>
      <c r="E198" s="213" t="s">
        <v>5</v>
      </c>
      <c r="F198" s="248" t="s">
        <v>415</v>
      </c>
      <c r="G198" s="37"/>
      <c r="H198" s="273">
        <v>0</v>
      </c>
      <c r="I198" s="273">
        <v>0</v>
      </c>
      <c r="J198" s="273">
        <v>0</v>
      </c>
      <c r="K198" s="273">
        <f t="shared" si="8"/>
        <v>0</v>
      </c>
      <c r="L198" s="289"/>
      <c r="M198" s="273">
        <v>0</v>
      </c>
      <c r="N198" s="273">
        <v>0</v>
      </c>
      <c r="O198" s="273">
        <v>0</v>
      </c>
      <c r="P198" s="273">
        <f t="shared" si="9"/>
        <v>0</v>
      </c>
      <c r="Q198" s="37"/>
      <c r="R198" s="369">
        <v>0</v>
      </c>
      <c r="S198" s="369">
        <v>0</v>
      </c>
      <c r="T198" s="369">
        <f t="shared" si="7"/>
        <v>0</v>
      </c>
    </row>
    <row r="199" spans="1:20">
      <c r="A199" s="231">
        <v>3355</v>
      </c>
      <c r="B199" s="4">
        <v>103447</v>
      </c>
      <c r="C199" s="4" t="s">
        <v>520</v>
      </c>
      <c r="D199" s="4" t="s">
        <v>521</v>
      </c>
      <c r="E199" s="213" t="s">
        <v>5</v>
      </c>
      <c r="F199" s="248" t="s">
        <v>415</v>
      </c>
      <c r="G199" s="37"/>
      <c r="H199" s="273">
        <v>0</v>
      </c>
      <c r="I199" s="273">
        <v>0</v>
      </c>
      <c r="J199" s="273">
        <v>0</v>
      </c>
      <c r="K199" s="273">
        <f t="shared" si="8"/>
        <v>0</v>
      </c>
      <c r="L199" s="289"/>
      <c r="M199" s="273">
        <v>0</v>
      </c>
      <c r="N199" s="273">
        <v>0</v>
      </c>
      <c r="O199" s="273">
        <v>0</v>
      </c>
      <c r="P199" s="273">
        <f t="shared" si="9"/>
        <v>0</v>
      </c>
      <c r="Q199" s="37"/>
      <c r="R199" s="369">
        <v>0</v>
      </c>
      <c r="S199" s="369">
        <v>0</v>
      </c>
      <c r="T199" s="369">
        <f t="shared" si="7"/>
        <v>0</v>
      </c>
    </row>
    <row r="200" spans="1:20">
      <c r="A200" s="231">
        <v>3367</v>
      </c>
      <c r="B200" s="4">
        <v>103458</v>
      </c>
      <c r="C200" s="4" t="s">
        <v>523</v>
      </c>
      <c r="D200" s="4" t="s">
        <v>524</v>
      </c>
      <c r="E200" s="213" t="s">
        <v>5</v>
      </c>
      <c r="F200" s="248" t="s">
        <v>415</v>
      </c>
      <c r="G200" s="37"/>
      <c r="H200" s="273">
        <v>0</v>
      </c>
      <c r="I200" s="273">
        <v>0</v>
      </c>
      <c r="J200" s="273">
        <v>0</v>
      </c>
      <c r="K200" s="273">
        <f t="shared" si="8"/>
        <v>0</v>
      </c>
      <c r="L200" s="289"/>
      <c r="M200" s="273">
        <v>0</v>
      </c>
      <c r="N200" s="273">
        <v>0</v>
      </c>
      <c r="O200" s="273">
        <v>0</v>
      </c>
      <c r="P200" s="273">
        <f t="shared" si="9"/>
        <v>0</v>
      </c>
      <c r="Q200" s="37"/>
      <c r="R200" s="369">
        <v>0</v>
      </c>
      <c r="S200" s="369">
        <v>0</v>
      </c>
      <c r="T200" s="369">
        <f t="shared" si="7"/>
        <v>0</v>
      </c>
    </row>
    <row r="201" spans="1:20">
      <c r="A201" s="231">
        <v>3361</v>
      </c>
      <c r="B201" s="4">
        <v>103453</v>
      </c>
      <c r="C201" s="4" t="s">
        <v>526</v>
      </c>
      <c r="D201" s="4" t="s">
        <v>527</v>
      </c>
      <c r="E201" s="213" t="s">
        <v>5</v>
      </c>
      <c r="F201" s="248" t="s">
        <v>415</v>
      </c>
      <c r="G201" s="37"/>
      <c r="H201" s="273">
        <v>0</v>
      </c>
      <c r="I201" s="273">
        <v>0</v>
      </c>
      <c r="J201" s="273">
        <v>0</v>
      </c>
      <c r="K201" s="273">
        <f t="shared" si="8"/>
        <v>0</v>
      </c>
      <c r="L201" s="289"/>
      <c r="M201" s="273">
        <v>0</v>
      </c>
      <c r="N201" s="273">
        <v>0</v>
      </c>
      <c r="O201" s="273">
        <v>0</v>
      </c>
      <c r="P201" s="273">
        <f t="shared" si="9"/>
        <v>0</v>
      </c>
      <c r="Q201" s="37"/>
      <c r="R201" s="369">
        <v>0</v>
      </c>
      <c r="S201" s="369">
        <v>0</v>
      </c>
      <c r="T201" s="369">
        <f t="shared" ref="T201:T218" si="10">R201+S201</f>
        <v>0</v>
      </c>
    </row>
    <row r="202" spans="1:20">
      <c r="A202" s="231">
        <v>3344</v>
      </c>
      <c r="B202" s="4">
        <v>103438</v>
      </c>
      <c r="C202" s="4" t="s">
        <v>529</v>
      </c>
      <c r="D202" s="4" t="s">
        <v>530</v>
      </c>
      <c r="E202" s="213" t="s">
        <v>5</v>
      </c>
      <c r="F202" s="248" t="s">
        <v>415</v>
      </c>
      <c r="G202" s="37"/>
      <c r="H202" s="273">
        <v>0</v>
      </c>
      <c r="I202" s="273">
        <v>0</v>
      </c>
      <c r="J202" s="273">
        <v>0</v>
      </c>
      <c r="K202" s="273">
        <f t="shared" ref="K202:K218" si="11">SUM(H202:J202)</f>
        <v>0</v>
      </c>
      <c r="L202" s="289"/>
      <c r="M202" s="273">
        <v>0</v>
      </c>
      <c r="N202" s="273">
        <v>0</v>
      </c>
      <c r="O202" s="273">
        <v>0</v>
      </c>
      <c r="P202" s="273">
        <f t="shared" ref="P202:P218" si="12">SUM(M202:O202)</f>
        <v>0</v>
      </c>
      <c r="Q202" s="37"/>
      <c r="R202" s="369">
        <v>0</v>
      </c>
      <c r="S202" s="369">
        <v>0</v>
      </c>
      <c r="T202" s="369">
        <f t="shared" si="10"/>
        <v>0</v>
      </c>
    </row>
    <row r="203" spans="1:20">
      <c r="A203" s="231">
        <v>3385</v>
      </c>
      <c r="B203" s="4">
        <v>103469</v>
      </c>
      <c r="C203" s="4" t="s">
        <v>532</v>
      </c>
      <c r="D203" s="4" t="s">
        <v>533</v>
      </c>
      <c r="E203" s="213" t="s">
        <v>5</v>
      </c>
      <c r="F203" s="248" t="s">
        <v>415</v>
      </c>
      <c r="G203" s="37"/>
      <c r="H203" s="273">
        <v>0</v>
      </c>
      <c r="I203" s="273">
        <v>0</v>
      </c>
      <c r="J203" s="273">
        <v>0</v>
      </c>
      <c r="K203" s="273">
        <f t="shared" si="11"/>
        <v>0</v>
      </c>
      <c r="L203" s="289"/>
      <c r="M203" s="273">
        <v>0</v>
      </c>
      <c r="N203" s="273">
        <v>0</v>
      </c>
      <c r="O203" s="273">
        <v>0</v>
      </c>
      <c r="P203" s="273">
        <f t="shared" si="12"/>
        <v>0</v>
      </c>
      <c r="Q203" s="37"/>
      <c r="R203" s="369">
        <v>0</v>
      </c>
      <c r="S203" s="369">
        <v>0</v>
      </c>
      <c r="T203" s="369">
        <f t="shared" si="10"/>
        <v>0</v>
      </c>
    </row>
    <row r="204" spans="1:20">
      <c r="A204" s="231">
        <v>3019</v>
      </c>
      <c r="B204" s="4">
        <v>103406</v>
      </c>
      <c r="C204" s="4" t="s">
        <v>535</v>
      </c>
      <c r="D204" s="4" t="s">
        <v>536</v>
      </c>
      <c r="E204" s="213" t="s">
        <v>5</v>
      </c>
      <c r="F204" s="248" t="s">
        <v>415</v>
      </c>
      <c r="G204" s="37"/>
      <c r="H204" s="273">
        <v>0</v>
      </c>
      <c r="I204" s="273">
        <v>0</v>
      </c>
      <c r="J204" s="273">
        <v>0</v>
      </c>
      <c r="K204" s="273">
        <f t="shared" si="11"/>
        <v>0</v>
      </c>
      <c r="L204" s="289"/>
      <c r="M204" s="273">
        <v>0</v>
      </c>
      <c r="N204" s="273">
        <v>0</v>
      </c>
      <c r="O204" s="273">
        <v>0</v>
      </c>
      <c r="P204" s="273">
        <f t="shared" si="12"/>
        <v>0</v>
      </c>
      <c r="Q204" s="37"/>
      <c r="R204" s="369">
        <v>0</v>
      </c>
      <c r="S204" s="369">
        <v>0</v>
      </c>
      <c r="T204" s="369">
        <f t="shared" si="10"/>
        <v>0</v>
      </c>
    </row>
    <row r="205" spans="1:20">
      <c r="A205" s="231">
        <v>2178</v>
      </c>
      <c r="B205" s="4">
        <v>103257</v>
      </c>
      <c r="C205" s="4" t="s">
        <v>538</v>
      </c>
      <c r="D205" s="4" t="s">
        <v>539</v>
      </c>
      <c r="E205" s="213" t="s">
        <v>5</v>
      </c>
      <c r="F205" s="248" t="s">
        <v>415</v>
      </c>
      <c r="G205" s="37"/>
      <c r="H205" s="273">
        <v>0</v>
      </c>
      <c r="I205" s="273">
        <v>0</v>
      </c>
      <c r="J205" s="273">
        <v>0</v>
      </c>
      <c r="K205" s="273">
        <f t="shared" si="11"/>
        <v>0</v>
      </c>
      <c r="L205" s="289"/>
      <c r="M205" s="273">
        <v>0</v>
      </c>
      <c r="N205" s="273">
        <v>0</v>
      </c>
      <c r="O205" s="273">
        <v>0</v>
      </c>
      <c r="P205" s="273">
        <f t="shared" si="12"/>
        <v>0</v>
      </c>
      <c r="Q205" s="37"/>
      <c r="R205" s="369">
        <v>0</v>
      </c>
      <c r="S205" s="369">
        <v>0</v>
      </c>
      <c r="T205" s="369">
        <f t="shared" si="10"/>
        <v>0</v>
      </c>
    </row>
    <row r="206" spans="1:20">
      <c r="A206" s="231">
        <v>2097</v>
      </c>
      <c r="B206" s="4">
        <v>103213</v>
      </c>
      <c r="C206" s="4" t="s">
        <v>541</v>
      </c>
      <c r="D206" s="4" t="s">
        <v>542</v>
      </c>
      <c r="E206" s="213" t="s">
        <v>5</v>
      </c>
      <c r="F206" s="248" t="s">
        <v>415</v>
      </c>
      <c r="G206" s="37"/>
      <c r="H206" s="273">
        <v>0</v>
      </c>
      <c r="I206" s="273">
        <v>0</v>
      </c>
      <c r="J206" s="273">
        <v>0</v>
      </c>
      <c r="K206" s="273">
        <f t="shared" si="11"/>
        <v>0</v>
      </c>
      <c r="L206" s="289"/>
      <c r="M206" s="273">
        <v>0</v>
      </c>
      <c r="N206" s="273">
        <v>0</v>
      </c>
      <c r="O206" s="273">
        <v>0</v>
      </c>
      <c r="P206" s="273">
        <f t="shared" si="12"/>
        <v>0</v>
      </c>
      <c r="Q206" s="37"/>
      <c r="R206" s="369">
        <v>0</v>
      </c>
      <c r="S206" s="369">
        <v>0</v>
      </c>
      <c r="T206" s="369">
        <f t="shared" si="10"/>
        <v>0</v>
      </c>
    </row>
    <row r="207" spans="1:20">
      <c r="A207" s="231">
        <v>2190</v>
      </c>
      <c r="B207" s="4">
        <v>103266</v>
      </c>
      <c r="C207" s="4" t="s">
        <v>544</v>
      </c>
      <c r="D207" s="4" t="s">
        <v>545</v>
      </c>
      <c r="E207" s="213" t="s">
        <v>5</v>
      </c>
      <c r="F207" s="248" t="s">
        <v>415</v>
      </c>
      <c r="G207" s="37"/>
      <c r="H207" s="273">
        <v>0</v>
      </c>
      <c r="I207" s="273">
        <v>0</v>
      </c>
      <c r="J207" s="273">
        <v>0</v>
      </c>
      <c r="K207" s="273">
        <f t="shared" si="11"/>
        <v>0</v>
      </c>
      <c r="L207" s="289"/>
      <c r="M207" s="273">
        <v>0</v>
      </c>
      <c r="N207" s="273">
        <v>0</v>
      </c>
      <c r="O207" s="273">
        <v>0</v>
      </c>
      <c r="P207" s="273">
        <f t="shared" si="12"/>
        <v>0</v>
      </c>
      <c r="Q207" s="37"/>
      <c r="R207" s="369">
        <v>0</v>
      </c>
      <c r="S207" s="369">
        <v>0</v>
      </c>
      <c r="T207" s="369">
        <f t="shared" si="10"/>
        <v>0</v>
      </c>
    </row>
    <row r="208" spans="1:20">
      <c r="A208" s="231">
        <v>7035</v>
      </c>
      <c r="B208" s="4">
        <v>103615</v>
      </c>
      <c r="C208" s="4" t="s">
        <v>547</v>
      </c>
      <c r="D208" s="4" t="s">
        <v>548</v>
      </c>
      <c r="E208" s="213" t="s">
        <v>1093</v>
      </c>
      <c r="F208" s="248" t="s">
        <v>415</v>
      </c>
      <c r="G208" s="37"/>
      <c r="H208" s="273">
        <v>1603734</v>
      </c>
      <c r="I208" s="273">
        <v>1293274.91663134</v>
      </c>
      <c r="J208" s="273">
        <v>99000</v>
      </c>
      <c r="K208" s="273">
        <f t="shared" si="11"/>
        <v>2996008.91663134</v>
      </c>
      <c r="L208" s="289"/>
      <c r="M208" s="273">
        <v>1603734</v>
      </c>
      <c r="N208" s="273">
        <v>1301352.91663134</v>
      </c>
      <c r="O208" s="273">
        <v>99000</v>
      </c>
      <c r="P208" s="273">
        <f t="shared" si="12"/>
        <v>3004086.91663134</v>
      </c>
      <c r="Q208" s="37"/>
      <c r="R208" s="369">
        <v>0</v>
      </c>
      <c r="S208" s="369">
        <v>0</v>
      </c>
      <c r="T208" s="369">
        <f t="shared" si="10"/>
        <v>0</v>
      </c>
    </row>
    <row r="209" spans="1:20">
      <c r="A209" s="231">
        <v>7045</v>
      </c>
      <c r="B209" s="4">
        <v>103622</v>
      </c>
      <c r="C209" s="4" t="s">
        <v>550</v>
      </c>
      <c r="D209" s="4" t="s">
        <v>864</v>
      </c>
      <c r="E209" s="213" t="s">
        <v>1093</v>
      </c>
      <c r="F209" s="248" t="s">
        <v>415</v>
      </c>
      <c r="G209" s="37"/>
      <c r="H209" s="273">
        <v>2886721.2</v>
      </c>
      <c r="I209" s="273">
        <v>2721904.0179505008</v>
      </c>
      <c r="J209" s="273">
        <v>178200</v>
      </c>
      <c r="K209" s="273">
        <f t="shared" si="11"/>
        <v>5786825.2179505005</v>
      </c>
      <c r="L209" s="289"/>
      <c r="M209" s="273">
        <v>2886721.2</v>
      </c>
      <c r="N209" s="273">
        <v>2721904.0179505008</v>
      </c>
      <c r="O209" s="273">
        <v>178200</v>
      </c>
      <c r="P209" s="273">
        <f t="shared" si="12"/>
        <v>5786825.2179505005</v>
      </c>
      <c r="Q209" s="37"/>
      <c r="R209" s="369">
        <v>0</v>
      </c>
      <c r="S209" s="369">
        <v>0</v>
      </c>
      <c r="T209" s="369">
        <f t="shared" si="10"/>
        <v>0</v>
      </c>
    </row>
    <row r="210" spans="1:20">
      <c r="A210" s="231">
        <v>1019</v>
      </c>
      <c r="B210" s="4">
        <v>103132</v>
      </c>
      <c r="C210" s="4" t="s">
        <v>553</v>
      </c>
      <c r="D210" s="4" t="s">
        <v>554</v>
      </c>
      <c r="E210" s="213" t="s">
        <v>180</v>
      </c>
      <c r="F210" s="248" t="s">
        <v>415</v>
      </c>
      <c r="G210" s="37"/>
      <c r="H210" s="273">
        <v>0</v>
      </c>
      <c r="I210" s="273">
        <v>0</v>
      </c>
      <c r="J210" s="273">
        <v>0</v>
      </c>
      <c r="K210" s="273">
        <f t="shared" si="11"/>
        <v>0</v>
      </c>
      <c r="L210" s="289"/>
      <c r="M210" s="273">
        <v>0</v>
      </c>
      <c r="N210" s="273">
        <v>0</v>
      </c>
      <c r="O210" s="273">
        <v>0</v>
      </c>
      <c r="P210" s="273">
        <f t="shared" si="12"/>
        <v>0</v>
      </c>
      <c r="Q210" s="37"/>
      <c r="R210" s="369">
        <v>0</v>
      </c>
      <c r="S210" s="369">
        <v>0</v>
      </c>
      <c r="T210" s="369">
        <f t="shared" si="10"/>
        <v>0</v>
      </c>
    </row>
    <row r="211" spans="1:20">
      <c r="A211" s="231">
        <v>2306</v>
      </c>
      <c r="B211" s="4">
        <v>103326</v>
      </c>
      <c r="C211" s="4" t="s">
        <v>556</v>
      </c>
      <c r="D211" s="4" t="s">
        <v>557</v>
      </c>
      <c r="E211" s="213" t="s">
        <v>5</v>
      </c>
      <c r="F211" s="248" t="s">
        <v>415</v>
      </c>
      <c r="G211" s="37"/>
      <c r="H211" s="273">
        <v>0</v>
      </c>
      <c r="I211" s="273">
        <v>0</v>
      </c>
      <c r="J211" s="273">
        <v>0</v>
      </c>
      <c r="K211" s="273">
        <f t="shared" si="11"/>
        <v>0</v>
      </c>
      <c r="L211" s="289"/>
      <c r="M211" s="273">
        <v>0</v>
      </c>
      <c r="N211" s="273">
        <v>0</v>
      </c>
      <c r="O211" s="273">
        <v>0</v>
      </c>
      <c r="P211" s="273">
        <f t="shared" si="12"/>
        <v>0</v>
      </c>
      <c r="Q211" s="37"/>
      <c r="R211" s="369">
        <v>0</v>
      </c>
      <c r="S211" s="369">
        <v>0</v>
      </c>
      <c r="T211" s="369">
        <f t="shared" si="10"/>
        <v>0</v>
      </c>
    </row>
    <row r="212" spans="1:20">
      <c r="A212" s="231">
        <v>2482</v>
      </c>
      <c r="B212" s="4">
        <v>132201</v>
      </c>
      <c r="C212" s="4" t="s">
        <v>559</v>
      </c>
      <c r="D212" s="4" t="s">
        <v>560</v>
      </c>
      <c r="E212" s="213" t="s">
        <v>5</v>
      </c>
      <c r="F212" s="248" t="s">
        <v>415</v>
      </c>
      <c r="G212" s="37"/>
      <c r="H212" s="273">
        <v>0</v>
      </c>
      <c r="I212" s="273">
        <v>0</v>
      </c>
      <c r="J212" s="273">
        <v>0</v>
      </c>
      <c r="K212" s="273">
        <f t="shared" si="11"/>
        <v>0</v>
      </c>
      <c r="L212" s="289"/>
      <c r="M212" s="273">
        <v>0</v>
      </c>
      <c r="N212" s="273">
        <v>0</v>
      </c>
      <c r="O212" s="273">
        <v>0</v>
      </c>
      <c r="P212" s="273">
        <f t="shared" si="12"/>
        <v>0</v>
      </c>
      <c r="Q212" s="37"/>
      <c r="R212" s="369">
        <v>0</v>
      </c>
      <c r="S212" s="369">
        <v>0</v>
      </c>
      <c r="T212" s="369">
        <f t="shared" si="10"/>
        <v>0</v>
      </c>
    </row>
    <row r="213" spans="1:20">
      <c r="A213" s="231">
        <v>2245</v>
      </c>
      <c r="B213" s="4">
        <v>103295</v>
      </c>
      <c r="C213" s="4" t="s">
        <v>562</v>
      </c>
      <c r="D213" s="4" t="s">
        <v>563</v>
      </c>
      <c r="E213" s="213" t="s">
        <v>5</v>
      </c>
      <c r="F213" s="248" t="s">
        <v>415</v>
      </c>
      <c r="G213" s="37"/>
      <c r="H213" s="273">
        <v>0</v>
      </c>
      <c r="I213" s="273">
        <v>0</v>
      </c>
      <c r="J213" s="273">
        <v>0</v>
      </c>
      <c r="K213" s="273">
        <f t="shared" si="11"/>
        <v>0</v>
      </c>
      <c r="L213" s="289"/>
      <c r="M213" s="273">
        <v>0</v>
      </c>
      <c r="N213" s="273">
        <v>0</v>
      </c>
      <c r="O213" s="273">
        <v>0</v>
      </c>
      <c r="P213" s="273">
        <f t="shared" si="12"/>
        <v>0</v>
      </c>
      <c r="Q213" s="37"/>
      <c r="R213" s="369">
        <v>106312.5</v>
      </c>
      <c r="S213" s="369">
        <v>80000</v>
      </c>
      <c r="T213" s="369">
        <f t="shared" si="10"/>
        <v>186312.5</v>
      </c>
    </row>
    <row r="214" spans="1:20">
      <c r="A214" s="231">
        <v>2445</v>
      </c>
      <c r="B214" s="4">
        <v>103372</v>
      </c>
      <c r="C214" s="4" t="s">
        <v>568</v>
      </c>
      <c r="D214" s="4" t="s">
        <v>569</v>
      </c>
      <c r="E214" s="213" t="s">
        <v>5</v>
      </c>
      <c r="F214" s="248" t="s">
        <v>415</v>
      </c>
      <c r="G214" s="37"/>
      <c r="H214" s="273">
        <v>0</v>
      </c>
      <c r="I214" s="273">
        <v>0</v>
      </c>
      <c r="J214" s="273">
        <v>0</v>
      </c>
      <c r="K214" s="273">
        <f t="shared" si="11"/>
        <v>0</v>
      </c>
      <c r="L214" s="289"/>
      <c r="M214" s="273">
        <v>0</v>
      </c>
      <c r="N214" s="273">
        <v>0</v>
      </c>
      <c r="O214" s="273">
        <v>0</v>
      </c>
      <c r="P214" s="273">
        <f t="shared" si="12"/>
        <v>0</v>
      </c>
      <c r="Q214" s="37"/>
      <c r="R214" s="369">
        <v>0</v>
      </c>
      <c r="S214" s="369">
        <v>0</v>
      </c>
      <c r="T214" s="369">
        <f t="shared" si="10"/>
        <v>0</v>
      </c>
    </row>
    <row r="215" spans="1:20">
      <c r="A215" s="231">
        <v>2278</v>
      </c>
      <c r="B215" s="4">
        <v>103310</v>
      </c>
      <c r="C215" s="4" t="s">
        <v>571</v>
      </c>
      <c r="D215" s="4" t="s">
        <v>572</v>
      </c>
      <c r="E215" s="213" t="s">
        <v>5</v>
      </c>
      <c r="F215" s="248" t="s">
        <v>415</v>
      </c>
      <c r="G215" s="37"/>
      <c r="H215" s="273">
        <v>0</v>
      </c>
      <c r="I215" s="273">
        <v>0</v>
      </c>
      <c r="J215" s="273">
        <v>0</v>
      </c>
      <c r="K215" s="273">
        <f t="shared" si="11"/>
        <v>0</v>
      </c>
      <c r="L215" s="289"/>
      <c r="M215" s="273">
        <v>0</v>
      </c>
      <c r="N215" s="273">
        <v>0</v>
      </c>
      <c r="O215" s="273">
        <v>0</v>
      </c>
      <c r="P215" s="273">
        <f t="shared" si="12"/>
        <v>0</v>
      </c>
      <c r="Q215" s="37"/>
      <c r="R215" s="369">
        <v>0</v>
      </c>
      <c r="S215" s="369">
        <v>0</v>
      </c>
      <c r="T215" s="369">
        <f t="shared" si="10"/>
        <v>0</v>
      </c>
    </row>
    <row r="216" spans="1:20">
      <c r="A216" s="231">
        <v>2317</v>
      </c>
      <c r="B216" s="4">
        <v>103337</v>
      </c>
      <c r="C216" s="4" t="s">
        <v>574</v>
      </c>
      <c r="D216" s="4" t="s">
        <v>575</v>
      </c>
      <c r="E216" s="213" t="s">
        <v>5</v>
      </c>
      <c r="F216" s="248" t="s">
        <v>415</v>
      </c>
      <c r="G216" s="37"/>
      <c r="H216" s="273">
        <v>0</v>
      </c>
      <c r="I216" s="273">
        <v>0</v>
      </c>
      <c r="J216" s="273">
        <v>0</v>
      </c>
      <c r="K216" s="273">
        <f t="shared" si="11"/>
        <v>0</v>
      </c>
      <c r="L216" s="289"/>
      <c r="M216" s="273">
        <v>0</v>
      </c>
      <c r="N216" s="273">
        <v>0</v>
      </c>
      <c r="O216" s="273">
        <v>0</v>
      </c>
      <c r="P216" s="273">
        <f t="shared" si="12"/>
        <v>0</v>
      </c>
      <c r="Q216" s="37"/>
      <c r="R216" s="369">
        <v>4543.2692307692305</v>
      </c>
      <c r="S216" s="369">
        <v>30000</v>
      </c>
      <c r="T216" s="369">
        <f t="shared" si="10"/>
        <v>34543.269230769234</v>
      </c>
    </row>
    <row r="217" spans="1:20">
      <c r="A217" s="231">
        <v>3421</v>
      </c>
      <c r="B217" s="4">
        <v>133996</v>
      </c>
      <c r="C217" s="4" t="s">
        <v>577</v>
      </c>
      <c r="D217" s="4" t="s">
        <v>578</v>
      </c>
      <c r="E217" s="213" t="s">
        <v>5</v>
      </c>
      <c r="F217" s="248" t="s">
        <v>415</v>
      </c>
      <c r="G217" s="37"/>
      <c r="H217" s="273">
        <v>0</v>
      </c>
      <c r="I217" s="273">
        <v>0</v>
      </c>
      <c r="J217" s="273">
        <v>0</v>
      </c>
      <c r="K217" s="273">
        <f t="shared" si="11"/>
        <v>0</v>
      </c>
      <c r="L217" s="289"/>
      <c r="M217" s="273">
        <v>0</v>
      </c>
      <c r="N217" s="273">
        <v>0</v>
      </c>
      <c r="O217" s="273">
        <v>0</v>
      </c>
      <c r="P217" s="273">
        <f t="shared" si="12"/>
        <v>0</v>
      </c>
      <c r="Q217" s="37"/>
      <c r="R217" s="369">
        <v>0</v>
      </c>
      <c r="S217" s="369">
        <v>0</v>
      </c>
      <c r="T217" s="369">
        <f t="shared" si="10"/>
        <v>0</v>
      </c>
    </row>
    <row r="218" spans="1:20">
      <c r="A218" s="231">
        <v>2184</v>
      </c>
      <c r="B218" s="4">
        <v>103262</v>
      </c>
      <c r="C218" s="4" t="s">
        <v>824</v>
      </c>
      <c r="D218" s="4" t="s">
        <v>825</v>
      </c>
      <c r="E218" s="213" t="s">
        <v>5</v>
      </c>
      <c r="F218" s="248" t="s">
        <v>415</v>
      </c>
      <c r="G218" s="37"/>
      <c r="H218" s="273">
        <v>0</v>
      </c>
      <c r="I218" s="273">
        <v>0</v>
      </c>
      <c r="J218" s="273">
        <v>0</v>
      </c>
      <c r="K218" s="273">
        <f t="shared" si="11"/>
        <v>0</v>
      </c>
      <c r="L218" s="289"/>
      <c r="M218" s="273">
        <v>0</v>
      </c>
      <c r="N218" s="273">
        <v>0</v>
      </c>
      <c r="O218" s="273">
        <v>0</v>
      </c>
      <c r="P218" s="273">
        <f t="shared" si="12"/>
        <v>0</v>
      </c>
      <c r="Q218" s="37"/>
      <c r="R218" s="369">
        <v>0</v>
      </c>
      <c r="S218" s="369">
        <v>0</v>
      </c>
      <c r="T218" s="369">
        <f t="shared" si="10"/>
        <v>0</v>
      </c>
    </row>
    <row r="219" spans="1:20" s="224" customFormat="1" ht="15" thickBot="1">
      <c r="A219" s="235"/>
      <c r="B219" s="220"/>
      <c r="C219" s="220"/>
      <c r="D219" s="227" t="s">
        <v>1095</v>
      </c>
      <c r="E219" s="221"/>
      <c r="F219" s="250"/>
      <c r="G219" s="222"/>
      <c r="H219" s="275">
        <f t="shared" ref="H219:T219" si="13">SUM(H73:H218)</f>
        <v>14668820.32</v>
      </c>
      <c r="I219" s="275">
        <f t="shared" si="13"/>
        <v>16067934.631943349</v>
      </c>
      <c r="J219" s="275">
        <f t="shared" si="13"/>
        <v>905520</v>
      </c>
      <c r="K219" s="294">
        <f t="shared" si="13"/>
        <v>31642274.951943349</v>
      </c>
      <c r="L219" s="301"/>
      <c r="M219" s="297">
        <f t="shared" si="13"/>
        <v>21268820.32</v>
      </c>
      <c r="N219" s="275">
        <f t="shared" si="13"/>
        <v>22275376.631943349</v>
      </c>
      <c r="O219" s="275">
        <f t="shared" si="13"/>
        <v>905520</v>
      </c>
      <c r="P219" s="294">
        <f t="shared" si="13"/>
        <v>44449716.951943353</v>
      </c>
      <c r="Q219" s="302"/>
      <c r="R219" s="373">
        <f t="shared" si="13"/>
        <v>1575695.6017326922</v>
      </c>
      <c r="S219" s="373">
        <f t="shared" si="13"/>
        <v>1136000</v>
      </c>
      <c r="T219" s="373">
        <f t="shared" si="13"/>
        <v>2711695.6017326922</v>
      </c>
    </row>
    <row r="220" spans="1:20" ht="15" thickTop="1">
      <c r="A220" s="231"/>
      <c r="B220" s="4"/>
      <c r="C220" s="4"/>
      <c r="D220" s="4"/>
      <c r="E220" s="4"/>
      <c r="F220" s="232"/>
      <c r="H220" s="271"/>
      <c r="I220" s="271"/>
      <c r="J220" s="271"/>
      <c r="K220" s="293"/>
      <c r="L220" s="304"/>
      <c r="M220" s="296"/>
      <c r="N220" s="271"/>
      <c r="O220" s="271"/>
      <c r="P220" s="293"/>
      <c r="Q220" s="292"/>
      <c r="R220" s="372"/>
      <c r="S220" s="372"/>
      <c r="T220" s="372"/>
    </row>
    <row r="221" spans="1:20" ht="15" thickBot="1">
      <c r="A221" s="237"/>
      <c r="B221" s="238"/>
      <c r="C221" s="238"/>
      <c r="D221" s="239"/>
      <c r="E221" s="251"/>
      <c r="F221" s="252"/>
      <c r="G221" s="253" t="s">
        <v>1097</v>
      </c>
      <c r="H221" s="276">
        <f t="shared" ref="H221:T221" si="14">H71+H219</f>
        <v>29294874.400000002</v>
      </c>
      <c r="I221" s="276">
        <f t="shared" si="14"/>
        <v>33139084.065912206</v>
      </c>
      <c r="J221" s="276">
        <f t="shared" si="14"/>
        <v>1808400</v>
      </c>
      <c r="K221" s="295">
        <f t="shared" si="14"/>
        <v>64242358.465912208</v>
      </c>
      <c r="L221" s="304"/>
      <c r="M221" s="298">
        <f t="shared" si="14"/>
        <v>35894874.400000006</v>
      </c>
      <c r="N221" s="276">
        <f t="shared" si="14"/>
        <v>39383980.065912202</v>
      </c>
      <c r="O221" s="276">
        <f t="shared" si="14"/>
        <v>1808400</v>
      </c>
      <c r="P221" s="295">
        <f t="shared" si="14"/>
        <v>77087254.465912223</v>
      </c>
      <c r="Q221" s="303"/>
      <c r="R221" s="374">
        <f t="shared" si="14"/>
        <v>2397974.1635576924</v>
      </c>
      <c r="S221" s="374">
        <f t="shared" si="14"/>
        <v>1606000</v>
      </c>
      <c r="T221" s="374">
        <f t="shared" si="14"/>
        <v>4003974.1635576924</v>
      </c>
    </row>
  </sheetData>
  <autoFilter ref="A7:Q219" xr:uid="{28D720FD-B264-4603-8A3F-AC523F45178E}"/>
  <mergeCells count="3">
    <mergeCell ref="H6:K6"/>
    <mergeCell ref="M6:P6"/>
    <mergeCell ref="R6:T6"/>
  </mergeCells>
  <conditionalFormatting sqref="A7:F7 Q7 A8:E8 E9:E219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EC715-CAF1-44E8-A16C-304CD5956029}">
  <sheetPr>
    <tabColor theme="8" tint="0.79998168889431442"/>
  </sheetPr>
  <dimension ref="A1:AA221"/>
  <sheetViews>
    <sheetView zoomScale="80" zoomScaleNormal="80" workbookViewId="0">
      <selection activeCell="D4" sqref="D4"/>
    </sheetView>
  </sheetViews>
  <sheetFormatPr defaultRowHeight="14.5"/>
  <cols>
    <col min="1" max="1" width="6.54296875" customWidth="1"/>
    <col min="2" max="2" width="7.7265625" bestFit="1" customWidth="1"/>
    <col min="3" max="3" width="11" bestFit="1" customWidth="1"/>
    <col min="4" max="4" width="66.26953125" customWidth="1"/>
    <col min="5" max="5" width="17.453125" bestFit="1" customWidth="1"/>
    <col min="6" max="6" width="14.7265625" customWidth="1"/>
    <col min="7" max="7" width="14.26953125" bestFit="1" customWidth="1"/>
    <col min="8" max="15" width="17.26953125" customWidth="1"/>
    <col min="16" max="16" width="3.453125" bestFit="1" customWidth="1"/>
    <col min="17" max="24" width="17.26953125" customWidth="1"/>
    <col min="26" max="26" width="15.1796875" bestFit="1" customWidth="1"/>
    <col min="27" max="27" width="15" bestFit="1" customWidth="1"/>
  </cols>
  <sheetData>
    <row r="1" spans="1:27">
      <c r="A1" s="1" t="s">
        <v>1138</v>
      </c>
      <c r="B1" s="1"/>
    </row>
    <row r="2" spans="1:27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</row>
    <row r="3" spans="1:27">
      <c r="D3" s="72"/>
      <c r="G3" s="72" t="s">
        <v>213</v>
      </c>
      <c r="H3" s="4" t="s">
        <v>61</v>
      </c>
      <c r="I3" s="4"/>
      <c r="J3" s="4"/>
      <c r="K3" s="4"/>
      <c r="L3" s="4"/>
      <c r="M3" s="4"/>
      <c r="N3" s="4"/>
      <c r="O3" s="4" t="s">
        <v>61</v>
      </c>
    </row>
    <row r="4" spans="1:27">
      <c r="D4" s="72"/>
      <c r="G4" s="72" t="s">
        <v>1103</v>
      </c>
      <c r="H4" s="424" t="s">
        <v>1127</v>
      </c>
      <c r="I4" s="425"/>
      <c r="J4" s="425"/>
      <c r="K4" s="425"/>
      <c r="L4" s="425"/>
      <c r="M4" s="425"/>
      <c r="N4" s="425"/>
      <c r="O4" s="426"/>
    </row>
    <row r="5" spans="1:27">
      <c r="D5" s="72"/>
      <c r="G5" s="72"/>
    </row>
    <row r="6" spans="1:27" ht="15" thickBot="1">
      <c r="H6" s="413" t="s">
        <v>1147</v>
      </c>
      <c r="I6" s="413"/>
      <c r="J6" s="413"/>
      <c r="K6" s="413"/>
      <c r="L6" s="413"/>
      <c r="M6" s="413"/>
      <c r="N6" s="413"/>
      <c r="O6" s="413"/>
      <c r="Q6" s="423" t="s">
        <v>1148</v>
      </c>
      <c r="R6" s="423"/>
      <c r="S6" s="423"/>
      <c r="T6" s="423"/>
      <c r="U6" s="423"/>
      <c r="V6" s="423"/>
      <c r="W6" s="423"/>
      <c r="X6" s="423"/>
    </row>
    <row r="7" spans="1:27" ht="44" thickBot="1">
      <c r="A7" s="196" t="s">
        <v>0</v>
      </c>
      <c r="B7" s="197" t="s">
        <v>7</v>
      </c>
      <c r="C7" s="198" t="s">
        <v>1</v>
      </c>
      <c r="D7" s="199" t="s">
        <v>2</v>
      </c>
      <c r="E7" s="198" t="s">
        <v>1091</v>
      </c>
      <c r="F7" s="199" t="s">
        <v>1092</v>
      </c>
      <c r="G7" s="241"/>
      <c r="H7" s="196" t="s">
        <v>1120</v>
      </c>
      <c r="I7" s="197" t="s">
        <v>1123</v>
      </c>
      <c r="J7" s="198" t="s">
        <v>1121</v>
      </c>
      <c r="K7" s="198" t="s">
        <v>1122</v>
      </c>
      <c r="L7" s="198" t="s">
        <v>1126</v>
      </c>
      <c r="M7" s="198" t="s">
        <v>1124</v>
      </c>
      <c r="N7" s="198" t="s">
        <v>190</v>
      </c>
      <c r="O7" s="198" t="s">
        <v>1125</v>
      </c>
      <c r="P7" s="241"/>
      <c r="Q7" s="286" t="s">
        <v>1120</v>
      </c>
      <c r="R7" s="287" t="s">
        <v>1123</v>
      </c>
      <c r="S7" s="288" t="s">
        <v>1121</v>
      </c>
      <c r="T7" s="288" t="s">
        <v>1122</v>
      </c>
      <c r="U7" s="288" t="s">
        <v>1126</v>
      </c>
      <c r="V7" s="288" t="s">
        <v>1124</v>
      </c>
      <c r="W7" s="288" t="s">
        <v>190</v>
      </c>
      <c r="X7" s="288" t="s">
        <v>1125</v>
      </c>
    </row>
    <row r="8" spans="1:27">
      <c r="A8" s="230">
        <v>1017</v>
      </c>
      <c r="B8" s="205">
        <v>103130</v>
      </c>
      <c r="C8" s="205" t="s">
        <v>232</v>
      </c>
      <c r="D8" s="205" t="s">
        <v>233</v>
      </c>
      <c r="E8" s="213" t="s">
        <v>180</v>
      </c>
      <c r="F8" s="247" t="s">
        <v>229</v>
      </c>
      <c r="G8" s="206"/>
      <c r="H8" s="271">
        <v>476699.84</v>
      </c>
      <c r="I8" s="271">
        <v>142106.4</v>
      </c>
      <c r="J8" s="271">
        <v>10972.5</v>
      </c>
      <c r="K8" s="271">
        <v>8938</v>
      </c>
      <c r="L8" s="271">
        <v>16085.400000000001</v>
      </c>
      <c r="M8" s="271">
        <v>264440.24</v>
      </c>
      <c r="N8" s="271">
        <v>15470</v>
      </c>
      <c r="O8" s="271">
        <f>SUM(H8:N8)</f>
        <v>934712.38</v>
      </c>
      <c r="P8" s="37"/>
      <c r="Q8" s="271">
        <v>431643.3</v>
      </c>
      <c r="R8" s="271">
        <v>100536.23999999999</v>
      </c>
      <c r="S8" s="271">
        <v>22581.84</v>
      </c>
      <c r="T8" s="271">
        <v>27250</v>
      </c>
      <c r="U8" s="271">
        <v>16330.8</v>
      </c>
      <c r="V8" s="271">
        <v>250086.81</v>
      </c>
      <c r="W8" s="271"/>
      <c r="X8" s="271">
        <f>SUM(Q8:W8)</f>
        <v>848428.99</v>
      </c>
      <c r="Z8" s="63"/>
      <c r="AA8" s="289"/>
    </row>
    <row r="9" spans="1:27">
      <c r="A9" s="231">
        <v>2300</v>
      </c>
      <c r="B9" s="4">
        <v>103324</v>
      </c>
      <c r="C9" s="4" t="s">
        <v>235</v>
      </c>
      <c r="D9" s="4" t="s">
        <v>236</v>
      </c>
      <c r="E9" s="213" t="s">
        <v>5</v>
      </c>
      <c r="F9" s="248" t="s">
        <v>229</v>
      </c>
      <c r="G9" s="37"/>
      <c r="H9" s="271">
        <v>226257.90000000002</v>
      </c>
      <c r="I9" s="271">
        <v>0</v>
      </c>
      <c r="J9" s="271">
        <v>7598.1</v>
      </c>
      <c r="K9" s="271">
        <v>0</v>
      </c>
      <c r="L9" s="271">
        <v>8170.2000000000007</v>
      </c>
      <c r="M9" s="271">
        <v>0</v>
      </c>
      <c r="N9" s="271">
        <v>0</v>
      </c>
      <c r="O9" s="271">
        <f t="shared" ref="O9:O70" si="0">SUM(H9:N9)</f>
        <v>242026.20000000004</v>
      </c>
      <c r="P9" s="37"/>
      <c r="Q9" s="271">
        <v>197823</v>
      </c>
      <c r="R9" s="271">
        <v>0</v>
      </c>
      <c r="S9" s="271">
        <v>9622.1999999999989</v>
      </c>
      <c r="T9" s="271">
        <v>0</v>
      </c>
      <c r="U9" s="271">
        <v>3627</v>
      </c>
      <c r="V9" s="271">
        <v>0</v>
      </c>
      <c r="W9" s="271"/>
      <c r="X9" s="271">
        <f t="shared" ref="X9:X70" si="1">SUM(Q9:W9)</f>
        <v>211072.2</v>
      </c>
      <c r="Z9" s="63"/>
      <c r="AA9" s="289"/>
    </row>
    <row r="10" spans="1:27">
      <c r="A10" s="231">
        <v>7016</v>
      </c>
      <c r="B10" s="4">
        <v>103606</v>
      </c>
      <c r="C10" s="4" t="s">
        <v>238</v>
      </c>
      <c r="D10" s="4" t="s">
        <v>239</v>
      </c>
      <c r="E10" s="213" t="s">
        <v>1093</v>
      </c>
      <c r="F10" s="248" t="s">
        <v>229</v>
      </c>
      <c r="G10" s="37"/>
      <c r="H10" s="271">
        <v>0</v>
      </c>
      <c r="I10" s="271">
        <v>0</v>
      </c>
      <c r="J10" s="271">
        <v>0</v>
      </c>
      <c r="K10" s="271">
        <v>0</v>
      </c>
      <c r="L10" s="271">
        <v>0</v>
      </c>
      <c r="M10" s="271">
        <v>0</v>
      </c>
      <c r="N10" s="271">
        <v>0</v>
      </c>
      <c r="O10" s="271">
        <f t="shared" si="0"/>
        <v>0</v>
      </c>
      <c r="P10" s="37"/>
      <c r="Q10" s="271">
        <v>0</v>
      </c>
      <c r="R10" s="271">
        <v>0</v>
      </c>
      <c r="S10" s="271">
        <v>0</v>
      </c>
      <c r="T10" s="271">
        <v>0</v>
      </c>
      <c r="U10" s="271">
        <v>0</v>
      </c>
      <c r="V10" s="271">
        <v>0</v>
      </c>
      <c r="W10" s="271"/>
      <c r="X10" s="271">
        <f t="shared" si="1"/>
        <v>0</v>
      </c>
      <c r="Z10" s="63"/>
      <c r="AA10" s="289"/>
    </row>
    <row r="11" spans="1:27">
      <c r="A11" s="231">
        <v>5413</v>
      </c>
      <c r="B11" s="4">
        <v>103560</v>
      </c>
      <c r="C11" s="4" t="s">
        <v>241</v>
      </c>
      <c r="D11" s="4" t="s">
        <v>242</v>
      </c>
      <c r="E11" s="213" t="s">
        <v>6</v>
      </c>
      <c r="F11" s="248" t="s">
        <v>229</v>
      </c>
      <c r="G11" s="37"/>
      <c r="H11" s="271">
        <v>0</v>
      </c>
      <c r="I11" s="271">
        <v>0</v>
      </c>
      <c r="J11" s="271">
        <v>0</v>
      </c>
      <c r="K11" s="271">
        <v>0</v>
      </c>
      <c r="L11" s="271">
        <v>0</v>
      </c>
      <c r="M11" s="271">
        <v>0</v>
      </c>
      <c r="N11" s="271">
        <v>0</v>
      </c>
      <c r="O11" s="271">
        <f t="shared" si="0"/>
        <v>0</v>
      </c>
      <c r="P11" s="37"/>
      <c r="Q11" s="271">
        <v>0</v>
      </c>
      <c r="R11" s="271">
        <v>0</v>
      </c>
      <c r="S11" s="271">
        <v>0</v>
      </c>
      <c r="T11" s="271">
        <v>0</v>
      </c>
      <c r="U11" s="271">
        <v>0</v>
      </c>
      <c r="V11" s="271">
        <v>0</v>
      </c>
      <c r="W11" s="271"/>
      <c r="X11" s="271">
        <f t="shared" si="1"/>
        <v>0</v>
      </c>
      <c r="Z11" s="63"/>
      <c r="AA11" s="289"/>
    </row>
    <row r="12" spans="1:27">
      <c r="A12" s="231">
        <v>2402</v>
      </c>
      <c r="B12" s="4">
        <v>103342</v>
      </c>
      <c r="C12" s="4" t="s">
        <v>244</v>
      </c>
      <c r="D12" s="4" t="s">
        <v>245</v>
      </c>
      <c r="E12" s="213" t="s">
        <v>5</v>
      </c>
      <c r="F12" s="248" t="s">
        <v>229</v>
      </c>
      <c r="G12" s="37"/>
      <c r="H12" s="271">
        <v>151299.29999999999</v>
      </c>
      <c r="I12" s="271">
        <v>0</v>
      </c>
      <c r="J12" s="271">
        <v>530.1</v>
      </c>
      <c r="K12" s="271">
        <v>0</v>
      </c>
      <c r="L12" s="271">
        <v>3131.4</v>
      </c>
      <c r="M12" s="271">
        <v>0</v>
      </c>
      <c r="N12" s="271">
        <v>0</v>
      </c>
      <c r="O12" s="271">
        <f t="shared" si="0"/>
        <v>154960.79999999999</v>
      </c>
      <c r="P12" s="37"/>
      <c r="Q12" s="271">
        <v>118158</v>
      </c>
      <c r="R12" s="271">
        <v>0</v>
      </c>
      <c r="S12" s="271">
        <v>615.92884615384617</v>
      </c>
      <c r="T12" s="271">
        <v>0</v>
      </c>
      <c r="U12" s="271">
        <v>1088.0999999999999</v>
      </c>
      <c r="V12" s="271">
        <v>0</v>
      </c>
      <c r="W12" s="271"/>
      <c r="X12" s="271">
        <f t="shared" si="1"/>
        <v>119862.02884615386</v>
      </c>
      <c r="Z12" s="63"/>
      <c r="AA12" s="289"/>
    </row>
    <row r="13" spans="1:27">
      <c r="A13" s="231">
        <v>2401</v>
      </c>
      <c r="B13" s="4">
        <v>103341</v>
      </c>
      <c r="C13" s="4" t="s">
        <v>247</v>
      </c>
      <c r="D13" s="4" t="s">
        <v>248</v>
      </c>
      <c r="E13" s="213" t="s">
        <v>5</v>
      </c>
      <c r="F13" s="248" t="s">
        <v>229</v>
      </c>
      <c r="G13" s="37"/>
      <c r="H13" s="271">
        <v>0</v>
      </c>
      <c r="I13" s="271">
        <v>0</v>
      </c>
      <c r="J13" s="271">
        <v>0</v>
      </c>
      <c r="K13" s="271">
        <v>0</v>
      </c>
      <c r="L13" s="271">
        <v>0</v>
      </c>
      <c r="M13" s="271">
        <v>0</v>
      </c>
      <c r="N13" s="271">
        <v>0</v>
      </c>
      <c r="O13" s="271">
        <f t="shared" si="0"/>
        <v>0</v>
      </c>
      <c r="P13" s="37"/>
      <c r="Q13" s="271">
        <v>0</v>
      </c>
      <c r="R13" s="271">
        <v>0</v>
      </c>
      <c r="S13" s="271">
        <v>0</v>
      </c>
      <c r="T13" s="271">
        <v>0</v>
      </c>
      <c r="U13" s="271">
        <v>0</v>
      </c>
      <c r="V13" s="271">
        <v>0</v>
      </c>
      <c r="W13" s="271"/>
      <c r="X13" s="271">
        <f t="shared" si="1"/>
        <v>0</v>
      </c>
      <c r="Z13" s="63"/>
      <c r="AA13" s="289"/>
    </row>
    <row r="14" spans="1:27">
      <c r="A14" s="231">
        <v>4115</v>
      </c>
      <c r="B14" s="4">
        <v>103493</v>
      </c>
      <c r="C14" s="4" t="s">
        <v>250</v>
      </c>
      <c r="D14" s="4" t="s">
        <v>251</v>
      </c>
      <c r="E14" s="213" t="s">
        <v>6</v>
      </c>
      <c r="F14" s="248" t="s">
        <v>229</v>
      </c>
      <c r="G14" s="37"/>
      <c r="H14" s="271">
        <v>0</v>
      </c>
      <c r="I14" s="271">
        <v>0</v>
      </c>
      <c r="J14" s="271">
        <v>0</v>
      </c>
      <c r="K14" s="271">
        <v>0</v>
      </c>
      <c r="L14" s="271">
        <v>0</v>
      </c>
      <c r="M14" s="271">
        <v>0</v>
      </c>
      <c r="N14" s="271">
        <v>0</v>
      </c>
      <c r="O14" s="271">
        <f t="shared" si="0"/>
        <v>0</v>
      </c>
      <c r="P14" s="37"/>
      <c r="Q14" s="271">
        <v>0</v>
      </c>
      <c r="R14" s="271">
        <v>0</v>
      </c>
      <c r="S14" s="271">
        <v>0</v>
      </c>
      <c r="T14" s="271">
        <v>0</v>
      </c>
      <c r="U14" s="271">
        <v>0</v>
      </c>
      <c r="V14" s="271">
        <v>0</v>
      </c>
      <c r="W14" s="271"/>
      <c r="X14" s="271">
        <f t="shared" si="1"/>
        <v>0</v>
      </c>
      <c r="Z14" s="63"/>
      <c r="AA14" s="289"/>
    </row>
    <row r="15" spans="1:27">
      <c r="A15" s="231">
        <v>2030</v>
      </c>
      <c r="B15" s="4">
        <v>103172</v>
      </c>
      <c r="C15" s="4" t="s">
        <v>253</v>
      </c>
      <c r="D15" s="4" t="s">
        <v>254</v>
      </c>
      <c r="E15" s="213" t="s">
        <v>5</v>
      </c>
      <c r="F15" s="248" t="s">
        <v>229</v>
      </c>
      <c r="G15" s="37"/>
      <c r="H15" s="271">
        <v>152437.5</v>
      </c>
      <c r="I15" s="271">
        <v>0</v>
      </c>
      <c r="J15" s="271">
        <v>2109</v>
      </c>
      <c r="K15" s="271">
        <v>0</v>
      </c>
      <c r="L15" s="271">
        <v>1224</v>
      </c>
      <c r="M15" s="271">
        <v>0</v>
      </c>
      <c r="N15" s="271">
        <v>0</v>
      </c>
      <c r="O15" s="271">
        <f t="shared" si="0"/>
        <v>155770.5</v>
      </c>
      <c r="P15" s="37"/>
      <c r="Q15" s="271">
        <v>135924</v>
      </c>
      <c r="R15" s="271">
        <v>0</v>
      </c>
      <c r="S15" s="271">
        <v>2320.9588235294118</v>
      </c>
      <c r="T15" s="271">
        <v>0</v>
      </c>
      <c r="U15" s="271">
        <v>1571.7</v>
      </c>
      <c r="V15" s="271">
        <v>0</v>
      </c>
      <c r="W15" s="271"/>
      <c r="X15" s="271">
        <f t="shared" si="1"/>
        <v>139816.65882352943</v>
      </c>
      <c r="Z15" s="63"/>
      <c r="AA15" s="289"/>
    </row>
    <row r="16" spans="1:27">
      <c r="A16" s="231">
        <v>2238</v>
      </c>
      <c r="B16" s="4">
        <v>103288</v>
      </c>
      <c r="C16" s="4" t="s">
        <v>256</v>
      </c>
      <c r="D16" s="4" t="s">
        <v>257</v>
      </c>
      <c r="E16" s="213" t="s">
        <v>5</v>
      </c>
      <c r="F16" s="248" t="s">
        <v>229</v>
      </c>
      <c r="G16" s="37"/>
      <c r="H16" s="271">
        <v>67235.099999999991</v>
      </c>
      <c r="I16" s="271">
        <v>0</v>
      </c>
      <c r="J16" s="271">
        <v>0</v>
      </c>
      <c r="K16" s="271">
        <v>654</v>
      </c>
      <c r="L16" s="271">
        <v>3131.4000000000005</v>
      </c>
      <c r="M16" s="271">
        <v>0</v>
      </c>
      <c r="N16" s="271">
        <v>0</v>
      </c>
      <c r="O16" s="271">
        <f t="shared" si="0"/>
        <v>71020.499999999985</v>
      </c>
      <c r="P16" s="37"/>
      <c r="Q16" s="271">
        <v>101449.5</v>
      </c>
      <c r="R16" s="271">
        <v>0</v>
      </c>
      <c r="S16" s="271">
        <v>7686.25</v>
      </c>
      <c r="T16" s="271">
        <v>0</v>
      </c>
      <c r="U16" s="271">
        <v>1813.5</v>
      </c>
      <c r="V16" s="271">
        <v>0</v>
      </c>
      <c r="W16" s="271"/>
      <c r="X16" s="271">
        <f t="shared" si="1"/>
        <v>110949.25</v>
      </c>
      <c r="Z16" s="63"/>
      <c r="AA16" s="289"/>
    </row>
    <row r="17" spans="1:27">
      <c r="A17" s="231">
        <v>2236</v>
      </c>
      <c r="B17" s="4">
        <v>103286</v>
      </c>
      <c r="C17" s="4" t="s">
        <v>259</v>
      </c>
      <c r="D17" s="4" t="s">
        <v>260</v>
      </c>
      <c r="E17" s="213" t="s">
        <v>5</v>
      </c>
      <c r="F17" s="248" t="s">
        <v>229</v>
      </c>
      <c r="G17" s="37"/>
      <c r="H17" s="271">
        <v>0</v>
      </c>
      <c r="I17" s="271">
        <v>0</v>
      </c>
      <c r="J17" s="271">
        <v>0</v>
      </c>
      <c r="K17" s="271">
        <v>0</v>
      </c>
      <c r="L17" s="271">
        <v>0</v>
      </c>
      <c r="M17" s="271">
        <v>0</v>
      </c>
      <c r="N17" s="271">
        <v>0</v>
      </c>
      <c r="O17" s="271">
        <f t="shared" si="0"/>
        <v>0</v>
      </c>
      <c r="P17" s="37"/>
      <c r="Q17" s="271">
        <v>0</v>
      </c>
      <c r="R17" s="271">
        <v>0</v>
      </c>
      <c r="S17" s="271">
        <v>0</v>
      </c>
      <c r="T17" s="271">
        <v>0</v>
      </c>
      <c r="U17" s="271">
        <v>0</v>
      </c>
      <c r="V17" s="271">
        <v>0</v>
      </c>
      <c r="W17" s="271"/>
      <c r="X17" s="271">
        <f t="shared" si="1"/>
        <v>0</v>
      </c>
      <c r="Z17" s="63"/>
      <c r="AA17" s="289"/>
    </row>
    <row r="18" spans="1:27">
      <c r="A18" s="231">
        <v>4801</v>
      </c>
      <c r="B18" s="4">
        <v>103539</v>
      </c>
      <c r="C18" s="4" t="s">
        <v>262</v>
      </c>
      <c r="D18" s="4" t="s">
        <v>263</v>
      </c>
      <c r="E18" s="213" t="s">
        <v>6</v>
      </c>
      <c r="F18" s="248" t="s">
        <v>229</v>
      </c>
      <c r="G18" s="37"/>
      <c r="H18" s="271">
        <v>0</v>
      </c>
      <c r="I18" s="271">
        <v>0</v>
      </c>
      <c r="J18" s="271">
        <v>0</v>
      </c>
      <c r="K18" s="271">
        <v>0</v>
      </c>
      <c r="L18" s="271">
        <v>0</v>
      </c>
      <c r="M18" s="271">
        <v>0</v>
      </c>
      <c r="N18" s="271">
        <v>0</v>
      </c>
      <c r="O18" s="271">
        <f t="shared" si="0"/>
        <v>0</v>
      </c>
      <c r="P18" s="37"/>
      <c r="Q18" s="271">
        <v>0</v>
      </c>
      <c r="R18" s="271">
        <v>0</v>
      </c>
      <c r="S18" s="271">
        <v>0</v>
      </c>
      <c r="T18" s="271">
        <v>0</v>
      </c>
      <c r="U18" s="271">
        <v>0</v>
      </c>
      <c r="V18" s="271">
        <v>0</v>
      </c>
      <c r="W18" s="271"/>
      <c r="X18" s="271">
        <f t="shared" si="1"/>
        <v>0</v>
      </c>
      <c r="Z18" s="63"/>
      <c r="AA18" s="289"/>
    </row>
    <row r="19" spans="1:27">
      <c r="A19" s="231">
        <v>2312</v>
      </c>
      <c r="B19" s="4">
        <v>103332</v>
      </c>
      <c r="C19" s="4" t="s">
        <v>265</v>
      </c>
      <c r="D19" s="4" t="s">
        <v>266</v>
      </c>
      <c r="E19" s="213" t="s">
        <v>5</v>
      </c>
      <c r="F19" s="248" t="s">
        <v>229</v>
      </c>
      <c r="G19" s="37"/>
      <c r="H19" s="271">
        <v>0</v>
      </c>
      <c r="I19" s="271">
        <v>0</v>
      </c>
      <c r="J19" s="271">
        <v>0</v>
      </c>
      <c r="K19" s="271">
        <v>0</v>
      </c>
      <c r="L19" s="271">
        <v>0</v>
      </c>
      <c r="M19" s="271">
        <v>0</v>
      </c>
      <c r="N19" s="271">
        <v>0</v>
      </c>
      <c r="O19" s="271">
        <f t="shared" si="0"/>
        <v>0</v>
      </c>
      <c r="P19" s="37"/>
      <c r="Q19" s="271">
        <v>0</v>
      </c>
      <c r="R19" s="271">
        <v>0</v>
      </c>
      <c r="S19" s="271">
        <v>0</v>
      </c>
      <c r="T19" s="271">
        <v>0</v>
      </c>
      <c r="U19" s="271">
        <v>0</v>
      </c>
      <c r="V19" s="271">
        <v>0</v>
      </c>
      <c r="W19" s="271"/>
      <c r="X19" s="271">
        <f t="shared" si="1"/>
        <v>0</v>
      </c>
      <c r="Z19" s="63"/>
      <c r="AA19" s="289"/>
    </row>
    <row r="20" spans="1:27">
      <c r="A20" s="231">
        <v>7051</v>
      </c>
      <c r="B20" s="4">
        <v>103626</v>
      </c>
      <c r="C20" s="4" t="s">
        <v>268</v>
      </c>
      <c r="D20" s="4" t="s">
        <v>269</v>
      </c>
      <c r="E20" s="213" t="s">
        <v>1093</v>
      </c>
      <c r="F20" s="248" t="s">
        <v>229</v>
      </c>
      <c r="G20" s="37"/>
      <c r="H20" s="271">
        <v>0</v>
      </c>
      <c r="I20" s="271">
        <v>0</v>
      </c>
      <c r="J20" s="271">
        <v>0</v>
      </c>
      <c r="K20" s="271">
        <v>0</v>
      </c>
      <c r="L20" s="271">
        <v>0</v>
      </c>
      <c r="M20" s="271">
        <v>0</v>
      </c>
      <c r="N20" s="271">
        <v>0</v>
      </c>
      <c r="O20" s="271">
        <f t="shared" si="0"/>
        <v>0</v>
      </c>
      <c r="P20" s="37"/>
      <c r="Q20" s="271">
        <v>0</v>
      </c>
      <c r="R20" s="271">
        <v>0</v>
      </c>
      <c r="S20" s="271">
        <v>0</v>
      </c>
      <c r="T20" s="271">
        <v>0</v>
      </c>
      <c r="U20" s="271">
        <v>0</v>
      </c>
      <c r="V20" s="271">
        <v>0</v>
      </c>
      <c r="W20" s="271"/>
      <c r="X20" s="271">
        <f t="shared" si="1"/>
        <v>0</v>
      </c>
      <c r="Z20" s="63"/>
      <c r="AA20" s="289"/>
    </row>
    <row r="21" spans="1:27">
      <c r="A21" s="231">
        <v>2251</v>
      </c>
      <c r="B21" s="4">
        <v>103298</v>
      </c>
      <c r="C21" s="4" t="s">
        <v>271</v>
      </c>
      <c r="D21" s="4" t="s">
        <v>272</v>
      </c>
      <c r="E21" s="213" t="s">
        <v>5</v>
      </c>
      <c r="F21" s="248" t="s">
        <v>229</v>
      </c>
      <c r="G21" s="37"/>
      <c r="H21" s="271">
        <v>143250.6</v>
      </c>
      <c r="I21" s="271">
        <v>0</v>
      </c>
      <c r="J21" s="271">
        <v>0</v>
      </c>
      <c r="K21" s="271">
        <v>436</v>
      </c>
      <c r="L21" s="271">
        <v>652.80000000000007</v>
      </c>
      <c r="M21" s="271">
        <v>0</v>
      </c>
      <c r="N21" s="271">
        <v>0</v>
      </c>
      <c r="O21" s="271">
        <f t="shared" si="0"/>
        <v>144339.4</v>
      </c>
      <c r="P21" s="37"/>
      <c r="Q21" s="271">
        <v>109557</v>
      </c>
      <c r="R21" s="271">
        <v>0</v>
      </c>
      <c r="S21" s="271">
        <v>0</v>
      </c>
      <c r="T21" s="271">
        <v>1090</v>
      </c>
      <c r="U21" s="271">
        <v>967.2</v>
      </c>
      <c r="V21" s="271">
        <v>0</v>
      </c>
      <c r="W21" s="271"/>
      <c r="X21" s="271">
        <f t="shared" si="1"/>
        <v>111614.2</v>
      </c>
      <c r="Z21" s="63"/>
      <c r="AA21" s="289"/>
    </row>
    <row r="22" spans="1:27">
      <c r="A22" s="231">
        <v>3002</v>
      </c>
      <c r="B22" s="4">
        <v>103397</v>
      </c>
      <c r="C22" s="4" t="s">
        <v>274</v>
      </c>
      <c r="D22" s="4" t="s">
        <v>275</v>
      </c>
      <c r="E22" s="213" t="s">
        <v>5</v>
      </c>
      <c r="F22" s="248" t="s">
        <v>229</v>
      </c>
      <c r="G22" s="37"/>
      <c r="H22" s="271">
        <v>66129.42</v>
      </c>
      <c r="I22" s="271">
        <v>0</v>
      </c>
      <c r="J22" s="271">
        <v>4603.32</v>
      </c>
      <c r="K22" s="271">
        <v>1744</v>
      </c>
      <c r="L22" s="271">
        <v>3233.4000000000005</v>
      </c>
      <c r="M22" s="271">
        <v>0</v>
      </c>
      <c r="N22" s="271">
        <v>0</v>
      </c>
      <c r="O22" s="271">
        <f t="shared" si="0"/>
        <v>75710.139999999985</v>
      </c>
      <c r="P22" s="37"/>
      <c r="Q22" s="271">
        <v>58543.199999999997</v>
      </c>
      <c r="R22" s="271">
        <v>226.58999999999997</v>
      </c>
      <c r="S22" s="271">
        <v>7733.6884615384615</v>
      </c>
      <c r="T22" s="271">
        <v>4360</v>
      </c>
      <c r="U22" s="271">
        <v>2780.7</v>
      </c>
      <c r="V22" s="271">
        <v>0</v>
      </c>
      <c r="W22" s="271"/>
      <c r="X22" s="271">
        <f t="shared" si="1"/>
        <v>73644.178461538453</v>
      </c>
      <c r="Z22" s="63"/>
      <c r="AA22" s="289"/>
    </row>
    <row r="23" spans="1:27">
      <c r="A23" s="231">
        <v>3319</v>
      </c>
      <c r="B23" s="4">
        <v>103423</v>
      </c>
      <c r="C23" s="4" t="s">
        <v>277</v>
      </c>
      <c r="D23" s="4" t="s">
        <v>278</v>
      </c>
      <c r="E23" s="213" t="s">
        <v>5</v>
      </c>
      <c r="F23" s="248" t="s">
        <v>229</v>
      </c>
      <c r="G23" s="37"/>
      <c r="H23" s="271">
        <v>136827.9</v>
      </c>
      <c r="I23" s="271">
        <v>0</v>
      </c>
      <c r="J23" s="271">
        <v>7124.9999999999991</v>
      </c>
      <c r="K23" s="271">
        <v>1962</v>
      </c>
      <c r="L23" s="271">
        <v>3712.8</v>
      </c>
      <c r="M23" s="271">
        <v>0</v>
      </c>
      <c r="N23" s="271">
        <v>0</v>
      </c>
      <c r="O23" s="271">
        <f t="shared" si="0"/>
        <v>149627.69999999998</v>
      </c>
      <c r="P23" s="37"/>
      <c r="Q23" s="271">
        <v>121471.5</v>
      </c>
      <c r="R23" s="271">
        <v>0</v>
      </c>
      <c r="S23" s="271">
        <v>8665.08</v>
      </c>
      <c r="T23" s="271">
        <v>5450</v>
      </c>
      <c r="U23" s="271">
        <v>1571.7</v>
      </c>
      <c r="V23" s="271">
        <v>0</v>
      </c>
      <c r="W23" s="271"/>
      <c r="X23" s="271">
        <f t="shared" si="1"/>
        <v>137158.28000000003</v>
      </c>
      <c r="Z23" s="63"/>
      <c r="AA23" s="289"/>
    </row>
    <row r="24" spans="1:27">
      <c r="A24" s="231">
        <v>5416</v>
      </c>
      <c r="B24" s="4">
        <v>103563</v>
      </c>
      <c r="C24" s="4" t="s">
        <v>280</v>
      </c>
      <c r="D24" s="4" t="s">
        <v>281</v>
      </c>
      <c r="E24" s="213" t="s">
        <v>6</v>
      </c>
      <c r="F24" s="248" t="s">
        <v>229</v>
      </c>
      <c r="G24" s="37"/>
      <c r="H24" s="271">
        <v>0</v>
      </c>
      <c r="I24" s="271">
        <v>0</v>
      </c>
      <c r="J24" s="271">
        <v>0</v>
      </c>
      <c r="K24" s="271">
        <v>0</v>
      </c>
      <c r="L24" s="271">
        <v>0</v>
      </c>
      <c r="M24" s="271">
        <v>0</v>
      </c>
      <c r="N24" s="271">
        <v>0</v>
      </c>
      <c r="O24" s="271">
        <f t="shared" si="0"/>
        <v>0</v>
      </c>
      <c r="P24" s="37"/>
      <c r="Q24" s="271">
        <v>0</v>
      </c>
      <c r="R24" s="271">
        <v>0</v>
      </c>
      <c r="S24" s="271">
        <v>0</v>
      </c>
      <c r="T24" s="271">
        <v>0</v>
      </c>
      <c r="U24" s="271">
        <v>0</v>
      </c>
      <c r="V24" s="271">
        <v>0</v>
      </c>
      <c r="W24" s="271"/>
      <c r="X24" s="271">
        <f t="shared" si="1"/>
        <v>0</v>
      </c>
      <c r="Z24" s="63"/>
      <c r="AA24" s="289"/>
    </row>
    <row r="25" spans="1:27">
      <c r="A25" s="231">
        <v>2054</v>
      </c>
      <c r="B25" s="4">
        <v>103189</v>
      </c>
      <c r="C25" s="4" t="s">
        <v>283</v>
      </c>
      <c r="D25" s="4" t="s">
        <v>284</v>
      </c>
      <c r="E25" s="213" t="s">
        <v>5</v>
      </c>
      <c r="F25" s="248" t="s">
        <v>229</v>
      </c>
      <c r="G25" s="37"/>
      <c r="H25" s="271">
        <v>156665.1</v>
      </c>
      <c r="I25" s="271">
        <v>0</v>
      </c>
      <c r="J25" s="271">
        <v>2736.0000000000005</v>
      </c>
      <c r="K25" s="271">
        <v>0</v>
      </c>
      <c r="L25" s="271">
        <v>122.4</v>
      </c>
      <c r="M25" s="271">
        <v>0</v>
      </c>
      <c r="N25" s="271">
        <v>910</v>
      </c>
      <c r="O25" s="271">
        <f t="shared" si="0"/>
        <v>160433.5</v>
      </c>
      <c r="P25" s="37"/>
      <c r="Q25" s="271">
        <v>135007.5</v>
      </c>
      <c r="R25" s="271">
        <v>0</v>
      </c>
      <c r="S25" s="271">
        <v>4349.1000000000004</v>
      </c>
      <c r="T25" s="271">
        <v>0</v>
      </c>
      <c r="U25" s="271">
        <v>3506.1</v>
      </c>
      <c r="V25" s="271">
        <v>0</v>
      </c>
      <c r="W25" s="271"/>
      <c r="X25" s="271">
        <f t="shared" si="1"/>
        <v>142862.70000000001</v>
      </c>
      <c r="Z25" s="63"/>
      <c r="AA25" s="289"/>
    </row>
    <row r="26" spans="1:27">
      <c r="A26" s="231">
        <v>2053</v>
      </c>
      <c r="B26" s="4">
        <v>103188</v>
      </c>
      <c r="C26" s="4" t="s">
        <v>286</v>
      </c>
      <c r="D26" s="4" t="s">
        <v>287</v>
      </c>
      <c r="E26" s="213" t="s">
        <v>5</v>
      </c>
      <c r="F26" s="248" t="s">
        <v>229</v>
      </c>
      <c r="G26" s="37"/>
      <c r="H26" s="271">
        <v>0</v>
      </c>
      <c r="I26" s="271">
        <v>0</v>
      </c>
      <c r="J26" s="271">
        <v>0</v>
      </c>
      <c r="K26" s="271">
        <v>0</v>
      </c>
      <c r="L26" s="271">
        <v>0</v>
      </c>
      <c r="M26" s="271">
        <v>0</v>
      </c>
      <c r="N26" s="271">
        <v>0</v>
      </c>
      <c r="O26" s="271">
        <f t="shared" si="0"/>
        <v>0</v>
      </c>
      <c r="P26" s="37"/>
      <c r="Q26" s="271">
        <v>0</v>
      </c>
      <c r="R26" s="271">
        <v>0</v>
      </c>
      <c r="S26" s="271">
        <v>0</v>
      </c>
      <c r="T26" s="271">
        <v>0</v>
      </c>
      <c r="U26" s="271">
        <v>0</v>
      </c>
      <c r="V26" s="271">
        <v>0</v>
      </c>
      <c r="W26" s="271"/>
      <c r="X26" s="271">
        <f t="shared" si="1"/>
        <v>0</v>
      </c>
      <c r="Z26" s="63"/>
      <c r="AA26" s="289"/>
    </row>
    <row r="27" spans="1:27">
      <c r="A27" s="231">
        <v>2055</v>
      </c>
      <c r="B27" s="4">
        <v>103190</v>
      </c>
      <c r="C27" s="4" t="s">
        <v>289</v>
      </c>
      <c r="D27" s="4" t="s">
        <v>290</v>
      </c>
      <c r="E27" s="213" t="s">
        <v>5</v>
      </c>
      <c r="F27" s="248" t="s">
        <v>229</v>
      </c>
      <c r="G27" s="37"/>
      <c r="H27" s="271">
        <v>131218.19999999998</v>
      </c>
      <c r="I27" s="271">
        <v>0</v>
      </c>
      <c r="J27" s="271">
        <v>1328.1</v>
      </c>
      <c r="K27" s="271">
        <v>0</v>
      </c>
      <c r="L27" s="271">
        <v>1968.6000000000001</v>
      </c>
      <c r="M27" s="271">
        <v>0</v>
      </c>
      <c r="N27" s="271">
        <v>0</v>
      </c>
      <c r="O27" s="271">
        <f t="shared" si="0"/>
        <v>134514.9</v>
      </c>
      <c r="P27" s="37"/>
      <c r="Q27" s="271">
        <v>106060.2</v>
      </c>
      <c r="R27" s="271">
        <v>0</v>
      </c>
      <c r="S27" s="271">
        <v>121.2</v>
      </c>
      <c r="T27" s="271">
        <v>0</v>
      </c>
      <c r="U27" s="271">
        <v>725.4</v>
      </c>
      <c r="V27" s="271">
        <v>0</v>
      </c>
      <c r="W27" s="271"/>
      <c r="X27" s="271">
        <f t="shared" si="1"/>
        <v>106906.79999999999</v>
      </c>
      <c r="Z27" s="63"/>
      <c r="AA27" s="289"/>
    </row>
    <row r="28" spans="1:27">
      <c r="A28" s="231">
        <v>2486</v>
      </c>
      <c r="B28" s="4">
        <v>133759</v>
      </c>
      <c r="C28" s="4" t="s">
        <v>292</v>
      </c>
      <c r="D28" s="4" t="s">
        <v>293</v>
      </c>
      <c r="E28" s="213" t="s">
        <v>5</v>
      </c>
      <c r="F28" s="248" t="s">
        <v>229</v>
      </c>
      <c r="G28" s="37"/>
      <c r="H28" s="271">
        <v>48780</v>
      </c>
      <c r="I28" s="271">
        <v>0</v>
      </c>
      <c r="J28" s="271">
        <v>3990</v>
      </c>
      <c r="K28" s="271">
        <v>2180</v>
      </c>
      <c r="L28" s="271">
        <v>4304.4000000000005</v>
      </c>
      <c r="M28" s="271">
        <v>0</v>
      </c>
      <c r="N28" s="271">
        <v>0</v>
      </c>
      <c r="O28" s="271">
        <f t="shared" si="0"/>
        <v>59254.400000000001</v>
      </c>
      <c r="P28" s="37"/>
      <c r="Q28" s="271">
        <v>42441</v>
      </c>
      <c r="R28" s="271">
        <v>1132.9499999999998</v>
      </c>
      <c r="S28" s="271">
        <v>10000.523076923077</v>
      </c>
      <c r="T28" s="271">
        <v>5450</v>
      </c>
      <c r="U28" s="271">
        <v>1692.6</v>
      </c>
      <c r="V28" s="271">
        <v>0</v>
      </c>
      <c r="W28" s="271"/>
      <c r="X28" s="271">
        <f t="shared" si="1"/>
        <v>60717.073076923072</v>
      </c>
      <c r="Z28" s="63"/>
      <c r="AA28" s="289"/>
    </row>
    <row r="29" spans="1:27">
      <c r="A29" s="231">
        <v>2296</v>
      </c>
      <c r="B29" s="4">
        <v>103320</v>
      </c>
      <c r="C29" s="4" t="s">
        <v>295</v>
      </c>
      <c r="D29" s="4" t="s">
        <v>297</v>
      </c>
      <c r="E29" s="213" t="s">
        <v>5</v>
      </c>
      <c r="F29" s="248" t="s">
        <v>296</v>
      </c>
      <c r="G29" s="37"/>
      <c r="H29" s="271">
        <v>0</v>
      </c>
      <c r="I29" s="271">
        <v>0</v>
      </c>
      <c r="J29" s="271">
        <v>0</v>
      </c>
      <c r="K29" s="271">
        <v>0</v>
      </c>
      <c r="L29" s="271">
        <v>0</v>
      </c>
      <c r="M29" s="271">
        <v>0</v>
      </c>
      <c r="N29" s="271">
        <v>0</v>
      </c>
      <c r="O29" s="271">
        <f t="shared" si="0"/>
        <v>0</v>
      </c>
      <c r="P29" s="37"/>
      <c r="Q29" s="271">
        <v>0</v>
      </c>
      <c r="R29" s="271">
        <v>0</v>
      </c>
      <c r="S29" s="271">
        <v>0</v>
      </c>
      <c r="T29" s="271">
        <v>0</v>
      </c>
      <c r="U29" s="271">
        <v>0</v>
      </c>
      <c r="V29" s="271">
        <v>0</v>
      </c>
      <c r="W29" s="271"/>
      <c r="X29" s="271">
        <f t="shared" si="1"/>
        <v>0</v>
      </c>
      <c r="Z29" s="63"/>
      <c r="AA29" s="289"/>
    </row>
    <row r="30" spans="1:27">
      <c r="A30" s="231">
        <v>2092</v>
      </c>
      <c r="B30" s="4">
        <v>103209</v>
      </c>
      <c r="C30" s="4" t="s">
        <v>299</v>
      </c>
      <c r="D30" s="4" t="s">
        <v>300</v>
      </c>
      <c r="E30" s="213" t="s">
        <v>5</v>
      </c>
      <c r="F30" s="248" t="s">
        <v>229</v>
      </c>
      <c r="G30" s="37"/>
      <c r="H30" s="271">
        <v>0</v>
      </c>
      <c r="I30" s="271">
        <v>0</v>
      </c>
      <c r="J30" s="271">
        <v>0</v>
      </c>
      <c r="K30" s="271">
        <v>0</v>
      </c>
      <c r="L30" s="271">
        <v>0</v>
      </c>
      <c r="M30" s="271">
        <v>0</v>
      </c>
      <c r="N30" s="271">
        <v>0</v>
      </c>
      <c r="O30" s="271">
        <f t="shared" si="0"/>
        <v>0</v>
      </c>
      <c r="P30" s="37"/>
      <c r="Q30" s="271">
        <v>0</v>
      </c>
      <c r="R30" s="271">
        <v>0</v>
      </c>
      <c r="S30" s="271">
        <v>0</v>
      </c>
      <c r="T30" s="271">
        <v>0</v>
      </c>
      <c r="U30" s="271">
        <v>0</v>
      </c>
      <c r="V30" s="271">
        <v>0</v>
      </c>
      <c r="W30" s="271"/>
      <c r="X30" s="271">
        <f t="shared" si="1"/>
        <v>0</v>
      </c>
      <c r="Z30" s="63"/>
      <c r="AA30" s="289"/>
    </row>
    <row r="31" spans="1:27">
      <c r="A31" s="231">
        <v>4201</v>
      </c>
      <c r="B31" s="4">
        <v>103503</v>
      </c>
      <c r="C31" s="4" t="s">
        <v>302</v>
      </c>
      <c r="D31" s="4" t="s">
        <v>303</v>
      </c>
      <c r="E31" s="213" t="s">
        <v>6</v>
      </c>
      <c r="F31" s="248" t="s">
        <v>229</v>
      </c>
      <c r="G31" s="37"/>
      <c r="H31" s="271">
        <v>0</v>
      </c>
      <c r="I31" s="271">
        <v>0</v>
      </c>
      <c r="J31" s="271">
        <v>0</v>
      </c>
      <c r="K31" s="271">
        <v>0</v>
      </c>
      <c r="L31" s="271">
        <v>0</v>
      </c>
      <c r="M31" s="271">
        <v>0</v>
      </c>
      <c r="N31" s="271">
        <v>0</v>
      </c>
      <c r="O31" s="271">
        <f t="shared" si="0"/>
        <v>0</v>
      </c>
      <c r="P31" s="37"/>
      <c r="Q31" s="271">
        <v>0</v>
      </c>
      <c r="R31" s="271">
        <v>0</v>
      </c>
      <c r="S31" s="271">
        <v>0</v>
      </c>
      <c r="T31" s="271">
        <v>0</v>
      </c>
      <c r="U31" s="271">
        <v>0</v>
      </c>
      <c r="V31" s="271">
        <v>0</v>
      </c>
      <c r="W31" s="271"/>
      <c r="X31" s="271">
        <f t="shared" si="1"/>
        <v>0</v>
      </c>
      <c r="Z31" s="63"/>
      <c r="AA31" s="289"/>
    </row>
    <row r="32" spans="1:27">
      <c r="A32" s="231">
        <v>4015</v>
      </c>
      <c r="B32" s="4">
        <v>103483</v>
      </c>
      <c r="C32" s="4" t="s">
        <v>305</v>
      </c>
      <c r="D32" s="4" t="s">
        <v>306</v>
      </c>
      <c r="E32" s="213" t="s">
        <v>6</v>
      </c>
      <c r="F32" s="248" t="s">
        <v>229</v>
      </c>
      <c r="G32" s="37"/>
      <c r="H32" s="271">
        <v>0</v>
      </c>
      <c r="I32" s="271">
        <v>0</v>
      </c>
      <c r="J32" s="271">
        <v>0</v>
      </c>
      <c r="K32" s="271">
        <v>0</v>
      </c>
      <c r="L32" s="271">
        <v>0</v>
      </c>
      <c r="M32" s="271">
        <v>0</v>
      </c>
      <c r="N32" s="271">
        <v>0</v>
      </c>
      <c r="O32" s="271">
        <f t="shared" si="0"/>
        <v>0</v>
      </c>
      <c r="P32" s="37"/>
      <c r="Q32" s="271">
        <v>0</v>
      </c>
      <c r="R32" s="271">
        <v>0</v>
      </c>
      <c r="S32" s="271">
        <v>0</v>
      </c>
      <c r="T32" s="271">
        <v>0</v>
      </c>
      <c r="U32" s="271">
        <v>0</v>
      </c>
      <c r="V32" s="271">
        <v>0</v>
      </c>
      <c r="W32" s="271"/>
      <c r="X32" s="271">
        <f t="shared" si="1"/>
        <v>0</v>
      </c>
      <c r="Z32" s="63"/>
      <c r="AA32" s="289"/>
    </row>
    <row r="33" spans="1:27">
      <c r="A33" s="231">
        <v>4223</v>
      </c>
      <c r="B33" s="4">
        <v>103509</v>
      </c>
      <c r="C33" s="4" t="s">
        <v>308</v>
      </c>
      <c r="D33" s="4" t="s">
        <v>309</v>
      </c>
      <c r="E33" s="213" t="s">
        <v>6</v>
      </c>
      <c r="F33" s="248" t="s">
        <v>229</v>
      </c>
      <c r="G33" s="37"/>
      <c r="H33" s="271">
        <v>0</v>
      </c>
      <c r="I33" s="271">
        <v>0</v>
      </c>
      <c r="J33" s="271">
        <v>0</v>
      </c>
      <c r="K33" s="271">
        <v>0</v>
      </c>
      <c r="L33" s="271">
        <v>0</v>
      </c>
      <c r="M33" s="271">
        <v>0</v>
      </c>
      <c r="N33" s="271">
        <v>0</v>
      </c>
      <c r="O33" s="271">
        <f t="shared" si="0"/>
        <v>0</v>
      </c>
      <c r="P33" s="37"/>
      <c r="Q33" s="271">
        <v>0</v>
      </c>
      <c r="R33" s="271">
        <v>0</v>
      </c>
      <c r="S33" s="271">
        <v>0</v>
      </c>
      <c r="T33" s="271">
        <v>0</v>
      </c>
      <c r="U33" s="271">
        <v>0</v>
      </c>
      <c r="V33" s="271">
        <v>0</v>
      </c>
      <c r="W33" s="271"/>
      <c r="X33" s="271">
        <f t="shared" si="1"/>
        <v>0</v>
      </c>
      <c r="Z33" s="63"/>
      <c r="AA33" s="289"/>
    </row>
    <row r="34" spans="1:27">
      <c r="A34" s="231">
        <v>2015</v>
      </c>
      <c r="B34" s="4">
        <v>134102</v>
      </c>
      <c r="C34" s="4" t="s">
        <v>311</v>
      </c>
      <c r="D34" s="4" t="s">
        <v>312</v>
      </c>
      <c r="E34" s="213" t="s">
        <v>5</v>
      </c>
      <c r="F34" s="248" t="s">
        <v>229</v>
      </c>
      <c r="G34" s="37"/>
      <c r="H34" s="271">
        <v>115771.2</v>
      </c>
      <c r="I34" s="271">
        <v>0</v>
      </c>
      <c r="J34" s="271">
        <v>5426.4000000000005</v>
      </c>
      <c r="K34" s="271">
        <v>2398</v>
      </c>
      <c r="L34" s="271">
        <v>3284.4000000000005</v>
      </c>
      <c r="M34" s="271">
        <v>0</v>
      </c>
      <c r="N34" s="271">
        <v>0</v>
      </c>
      <c r="O34" s="271">
        <f t="shared" si="0"/>
        <v>126879.99999999999</v>
      </c>
      <c r="P34" s="37"/>
      <c r="Q34" s="271">
        <v>131553</v>
      </c>
      <c r="R34" s="271">
        <v>0</v>
      </c>
      <c r="S34" s="271">
        <v>11345.821875</v>
      </c>
      <c r="T34" s="271">
        <v>8720</v>
      </c>
      <c r="U34" s="271">
        <v>2176.1999999999998</v>
      </c>
      <c r="V34" s="271">
        <v>0</v>
      </c>
      <c r="W34" s="271"/>
      <c r="X34" s="271">
        <f t="shared" si="1"/>
        <v>153795.02187500001</v>
      </c>
      <c r="Z34" s="63"/>
      <c r="AA34" s="289"/>
    </row>
    <row r="35" spans="1:27">
      <c r="A35" s="231">
        <v>2462</v>
      </c>
      <c r="B35" s="4">
        <v>103388</v>
      </c>
      <c r="C35" s="4" t="s">
        <v>314</v>
      </c>
      <c r="D35" s="4" t="s">
        <v>315</v>
      </c>
      <c r="E35" s="213" t="s">
        <v>5</v>
      </c>
      <c r="F35" s="248" t="s">
        <v>229</v>
      </c>
      <c r="G35" s="37"/>
      <c r="H35" s="271">
        <v>0</v>
      </c>
      <c r="I35" s="271">
        <v>0</v>
      </c>
      <c r="J35" s="271">
        <v>0</v>
      </c>
      <c r="K35" s="271">
        <v>0</v>
      </c>
      <c r="L35" s="271">
        <v>0</v>
      </c>
      <c r="M35" s="271">
        <v>0</v>
      </c>
      <c r="N35" s="271">
        <v>0</v>
      </c>
      <c r="O35" s="271">
        <f t="shared" si="0"/>
        <v>0</v>
      </c>
      <c r="P35" s="37"/>
      <c r="Q35" s="271">
        <v>0</v>
      </c>
      <c r="R35" s="271">
        <v>0</v>
      </c>
      <c r="S35" s="271">
        <v>0</v>
      </c>
      <c r="T35" s="271">
        <v>0</v>
      </c>
      <c r="U35" s="271">
        <v>0</v>
      </c>
      <c r="V35" s="271">
        <v>0</v>
      </c>
      <c r="W35" s="271"/>
      <c r="X35" s="271">
        <f t="shared" si="1"/>
        <v>0</v>
      </c>
      <c r="Z35" s="63"/>
      <c r="AA35" s="289"/>
    </row>
    <row r="36" spans="1:27">
      <c r="A36" s="231">
        <v>2127</v>
      </c>
      <c r="B36" s="4">
        <v>103227</v>
      </c>
      <c r="C36" s="4" t="s">
        <v>317</v>
      </c>
      <c r="D36" s="4" t="s">
        <v>318</v>
      </c>
      <c r="E36" s="213" t="s">
        <v>5</v>
      </c>
      <c r="F36" s="248" t="s">
        <v>229</v>
      </c>
      <c r="G36" s="37"/>
      <c r="H36" s="271">
        <v>141055.50000000003</v>
      </c>
      <c r="I36" s="271">
        <v>0</v>
      </c>
      <c r="J36" s="271">
        <v>6697.4999999999991</v>
      </c>
      <c r="K36" s="271">
        <v>0</v>
      </c>
      <c r="L36" s="271">
        <v>5457</v>
      </c>
      <c r="M36" s="271">
        <v>0</v>
      </c>
      <c r="N36" s="271">
        <v>0</v>
      </c>
      <c r="O36" s="271">
        <f t="shared" si="0"/>
        <v>153210.00000000003</v>
      </c>
      <c r="P36" s="37"/>
      <c r="Q36" s="271">
        <v>120978</v>
      </c>
      <c r="R36" s="271">
        <v>0</v>
      </c>
      <c r="S36" s="271">
        <v>9771.375</v>
      </c>
      <c r="T36" s="271">
        <v>1635</v>
      </c>
      <c r="U36" s="271">
        <v>1450.8</v>
      </c>
      <c r="V36" s="271">
        <v>0</v>
      </c>
      <c r="W36" s="271"/>
      <c r="X36" s="271">
        <f t="shared" si="1"/>
        <v>133835.17499999999</v>
      </c>
      <c r="Z36" s="63"/>
      <c r="AA36" s="289"/>
    </row>
    <row r="37" spans="1:27">
      <c r="A37" s="231">
        <v>2129</v>
      </c>
      <c r="B37" s="4">
        <v>103229</v>
      </c>
      <c r="C37" s="4" t="s">
        <v>320</v>
      </c>
      <c r="D37" s="4" t="s">
        <v>321</v>
      </c>
      <c r="E37" s="213" t="s">
        <v>5</v>
      </c>
      <c r="F37" s="248" t="s">
        <v>229</v>
      </c>
      <c r="G37" s="37"/>
      <c r="H37" s="271">
        <v>0</v>
      </c>
      <c r="I37" s="271">
        <v>0</v>
      </c>
      <c r="J37" s="271">
        <v>0</v>
      </c>
      <c r="K37" s="271">
        <v>0</v>
      </c>
      <c r="L37" s="271">
        <v>0</v>
      </c>
      <c r="M37" s="271">
        <v>0</v>
      </c>
      <c r="N37" s="271">
        <v>0</v>
      </c>
      <c r="O37" s="271">
        <f t="shared" si="0"/>
        <v>0</v>
      </c>
      <c r="P37" s="37"/>
      <c r="Q37" s="271">
        <v>0</v>
      </c>
      <c r="R37" s="271">
        <v>0</v>
      </c>
      <c r="S37" s="271">
        <v>0</v>
      </c>
      <c r="T37" s="271">
        <v>0</v>
      </c>
      <c r="U37" s="271">
        <v>0</v>
      </c>
      <c r="V37" s="271">
        <v>0</v>
      </c>
      <c r="W37" s="271"/>
      <c r="X37" s="271">
        <f t="shared" si="1"/>
        <v>0</v>
      </c>
      <c r="Z37" s="63"/>
      <c r="AA37" s="289"/>
    </row>
    <row r="38" spans="1:27">
      <c r="A38" s="231">
        <v>2128</v>
      </c>
      <c r="B38" s="4">
        <v>103228</v>
      </c>
      <c r="C38" s="4" t="s">
        <v>323</v>
      </c>
      <c r="D38" s="4" t="s">
        <v>324</v>
      </c>
      <c r="E38" s="213" t="s">
        <v>5</v>
      </c>
      <c r="F38" s="248" t="s">
        <v>229</v>
      </c>
      <c r="G38" s="37"/>
      <c r="H38" s="271">
        <v>0</v>
      </c>
      <c r="I38" s="271">
        <v>0</v>
      </c>
      <c r="J38" s="271">
        <v>0</v>
      </c>
      <c r="K38" s="271">
        <v>0</v>
      </c>
      <c r="L38" s="271">
        <v>0</v>
      </c>
      <c r="M38" s="271">
        <v>0</v>
      </c>
      <c r="N38" s="271">
        <v>0</v>
      </c>
      <c r="O38" s="271">
        <f t="shared" si="0"/>
        <v>0</v>
      </c>
      <c r="P38" s="37"/>
      <c r="Q38" s="271">
        <v>0</v>
      </c>
      <c r="R38" s="271">
        <v>0</v>
      </c>
      <c r="S38" s="271">
        <v>0</v>
      </c>
      <c r="T38" s="271">
        <v>0</v>
      </c>
      <c r="U38" s="271">
        <v>0</v>
      </c>
      <c r="V38" s="271">
        <v>0</v>
      </c>
      <c r="W38" s="271"/>
      <c r="X38" s="271">
        <f t="shared" si="1"/>
        <v>0</v>
      </c>
      <c r="Z38" s="63"/>
      <c r="AA38" s="289"/>
    </row>
    <row r="39" spans="1:27">
      <c r="A39" s="231">
        <v>2133</v>
      </c>
      <c r="B39" s="4">
        <v>103233</v>
      </c>
      <c r="C39" s="4" t="s">
        <v>326</v>
      </c>
      <c r="D39" s="4" t="s">
        <v>327</v>
      </c>
      <c r="E39" s="213" t="s">
        <v>5</v>
      </c>
      <c r="F39" s="248" t="s">
        <v>229</v>
      </c>
      <c r="G39" s="37"/>
      <c r="H39" s="271">
        <v>0</v>
      </c>
      <c r="I39" s="271">
        <v>0</v>
      </c>
      <c r="J39" s="271">
        <v>0</v>
      </c>
      <c r="K39" s="271">
        <v>0</v>
      </c>
      <c r="L39" s="271">
        <v>0</v>
      </c>
      <c r="M39" s="271">
        <v>0</v>
      </c>
      <c r="N39" s="271">
        <v>0</v>
      </c>
      <c r="O39" s="271">
        <f t="shared" si="0"/>
        <v>0</v>
      </c>
      <c r="P39" s="37"/>
      <c r="Q39" s="271">
        <v>0</v>
      </c>
      <c r="R39" s="271">
        <v>0</v>
      </c>
      <c r="S39" s="271">
        <v>0</v>
      </c>
      <c r="T39" s="271">
        <v>0</v>
      </c>
      <c r="U39" s="271">
        <v>0</v>
      </c>
      <c r="V39" s="271">
        <v>0</v>
      </c>
      <c r="W39" s="271"/>
      <c r="X39" s="271">
        <f t="shared" si="1"/>
        <v>0</v>
      </c>
      <c r="Z39" s="63"/>
      <c r="AA39" s="289"/>
    </row>
    <row r="40" spans="1:27">
      <c r="A40" s="231">
        <v>3322</v>
      </c>
      <c r="B40" s="4">
        <v>103426</v>
      </c>
      <c r="C40" s="4" t="s">
        <v>329</v>
      </c>
      <c r="D40" s="4" t="s">
        <v>330</v>
      </c>
      <c r="E40" s="213" t="s">
        <v>5</v>
      </c>
      <c r="F40" s="248" t="s">
        <v>229</v>
      </c>
      <c r="G40" s="37"/>
      <c r="H40" s="271">
        <v>85283.7</v>
      </c>
      <c r="I40" s="271">
        <v>0</v>
      </c>
      <c r="J40" s="271">
        <v>513</v>
      </c>
      <c r="K40" s="271">
        <v>654</v>
      </c>
      <c r="L40" s="271">
        <v>2254.2000000000003</v>
      </c>
      <c r="M40" s="271">
        <v>0</v>
      </c>
      <c r="N40" s="271">
        <v>0</v>
      </c>
      <c r="O40" s="271">
        <f t="shared" si="0"/>
        <v>88704.9</v>
      </c>
      <c r="P40" s="37"/>
      <c r="Q40" s="271">
        <v>74871</v>
      </c>
      <c r="R40" s="271">
        <v>0</v>
      </c>
      <c r="S40" s="271">
        <v>1298.9749999999999</v>
      </c>
      <c r="T40" s="271">
        <v>545</v>
      </c>
      <c r="U40" s="271">
        <v>967.2</v>
      </c>
      <c r="V40" s="271">
        <v>0</v>
      </c>
      <c r="W40" s="271"/>
      <c r="X40" s="271">
        <f t="shared" si="1"/>
        <v>77682.175000000003</v>
      </c>
      <c r="Z40" s="63"/>
      <c r="AA40" s="289"/>
    </row>
    <row r="41" spans="1:27">
      <c r="A41" s="231">
        <v>2416</v>
      </c>
      <c r="B41" s="4">
        <v>103351</v>
      </c>
      <c r="C41" s="4" t="s">
        <v>332</v>
      </c>
      <c r="D41" s="4" t="s">
        <v>333</v>
      </c>
      <c r="E41" s="213" t="s">
        <v>5</v>
      </c>
      <c r="F41" s="248" t="s">
        <v>229</v>
      </c>
      <c r="G41" s="37"/>
      <c r="H41" s="271">
        <v>0</v>
      </c>
      <c r="I41" s="271">
        <v>0</v>
      </c>
      <c r="J41" s="271">
        <v>0</v>
      </c>
      <c r="K41" s="271">
        <v>0</v>
      </c>
      <c r="L41" s="271">
        <v>0</v>
      </c>
      <c r="M41" s="271">
        <v>0</v>
      </c>
      <c r="N41" s="271">
        <v>0</v>
      </c>
      <c r="O41" s="271">
        <f t="shared" si="0"/>
        <v>0</v>
      </c>
      <c r="P41" s="37"/>
      <c r="Q41" s="271">
        <v>0</v>
      </c>
      <c r="R41" s="271">
        <v>0</v>
      </c>
      <c r="S41" s="271">
        <v>0</v>
      </c>
      <c r="T41" s="271">
        <v>0</v>
      </c>
      <c r="U41" s="271">
        <v>0</v>
      </c>
      <c r="V41" s="271">
        <v>0</v>
      </c>
      <c r="W41" s="271"/>
      <c r="X41" s="271">
        <f t="shared" si="1"/>
        <v>0</v>
      </c>
      <c r="Z41" s="63"/>
      <c r="AA41" s="289"/>
    </row>
    <row r="42" spans="1:27">
      <c r="A42" s="231">
        <v>4245</v>
      </c>
      <c r="B42" s="4">
        <v>103519</v>
      </c>
      <c r="C42" s="4" t="s">
        <v>335</v>
      </c>
      <c r="D42" s="4" t="s">
        <v>336</v>
      </c>
      <c r="E42" s="213" t="s">
        <v>6</v>
      </c>
      <c r="F42" s="248" t="s">
        <v>229</v>
      </c>
      <c r="G42" s="37"/>
      <c r="H42" s="271">
        <v>0</v>
      </c>
      <c r="I42" s="271">
        <v>0</v>
      </c>
      <c r="J42" s="271">
        <v>0</v>
      </c>
      <c r="K42" s="271">
        <v>0</v>
      </c>
      <c r="L42" s="271">
        <v>0</v>
      </c>
      <c r="M42" s="271">
        <v>0</v>
      </c>
      <c r="N42" s="271">
        <v>0</v>
      </c>
      <c r="O42" s="271">
        <f t="shared" si="0"/>
        <v>0</v>
      </c>
      <c r="P42" s="37"/>
      <c r="Q42" s="271">
        <v>0</v>
      </c>
      <c r="R42" s="271">
        <v>0</v>
      </c>
      <c r="S42" s="271">
        <v>0</v>
      </c>
      <c r="T42" s="271">
        <v>0</v>
      </c>
      <c r="U42" s="271">
        <v>0</v>
      </c>
      <c r="V42" s="271">
        <v>0</v>
      </c>
      <c r="W42" s="271"/>
      <c r="X42" s="271">
        <f t="shared" si="1"/>
        <v>0</v>
      </c>
      <c r="Z42" s="63"/>
      <c r="AA42" s="289"/>
    </row>
    <row r="43" spans="1:27">
      <c r="A43" s="231">
        <v>7053</v>
      </c>
      <c r="B43" s="4">
        <v>103628</v>
      </c>
      <c r="C43" s="4" t="s">
        <v>338</v>
      </c>
      <c r="D43" s="4" t="s">
        <v>339</v>
      </c>
      <c r="E43" s="213" t="s">
        <v>1093</v>
      </c>
      <c r="F43" s="248" t="s">
        <v>229</v>
      </c>
      <c r="G43" s="37"/>
      <c r="H43" s="271">
        <v>0</v>
      </c>
      <c r="I43" s="271">
        <v>0</v>
      </c>
      <c r="J43" s="271">
        <v>0</v>
      </c>
      <c r="K43" s="271">
        <v>0</v>
      </c>
      <c r="L43" s="271">
        <v>0</v>
      </c>
      <c r="M43" s="271">
        <v>0</v>
      </c>
      <c r="N43" s="271">
        <v>0</v>
      </c>
      <c r="O43" s="271">
        <f t="shared" si="0"/>
        <v>0</v>
      </c>
      <c r="P43" s="37"/>
      <c r="Q43" s="271">
        <v>0</v>
      </c>
      <c r="R43" s="271">
        <v>0</v>
      </c>
      <c r="S43" s="271">
        <v>0</v>
      </c>
      <c r="T43" s="271">
        <v>0</v>
      </c>
      <c r="U43" s="271">
        <v>0</v>
      </c>
      <c r="V43" s="271">
        <v>0</v>
      </c>
      <c r="W43" s="271"/>
      <c r="X43" s="271">
        <f t="shared" si="1"/>
        <v>0</v>
      </c>
      <c r="Z43" s="63"/>
      <c r="AA43" s="289"/>
    </row>
    <row r="44" spans="1:27">
      <c r="A44" s="231">
        <v>4173</v>
      </c>
      <c r="B44" s="4">
        <v>103497</v>
      </c>
      <c r="C44" s="4" t="s">
        <v>341</v>
      </c>
      <c r="D44" s="4" t="s">
        <v>342</v>
      </c>
      <c r="E44" s="213" t="s">
        <v>6</v>
      </c>
      <c r="F44" s="248" t="s">
        <v>229</v>
      </c>
      <c r="G44" s="37"/>
      <c r="H44" s="271">
        <v>0</v>
      </c>
      <c r="I44" s="271">
        <v>0</v>
      </c>
      <c r="J44" s="271">
        <v>0</v>
      </c>
      <c r="K44" s="271">
        <v>0</v>
      </c>
      <c r="L44" s="271">
        <v>0</v>
      </c>
      <c r="M44" s="271">
        <v>0</v>
      </c>
      <c r="N44" s="271">
        <v>0</v>
      </c>
      <c r="O44" s="271">
        <f t="shared" si="0"/>
        <v>0</v>
      </c>
      <c r="P44" s="37"/>
      <c r="Q44" s="271">
        <v>0</v>
      </c>
      <c r="R44" s="271">
        <v>0</v>
      </c>
      <c r="S44" s="271">
        <v>0</v>
      </c>
      <c r="T44" s="271">
        <v>0</v>
      </c>
      <c r="U44" s="271">
        <v>0</v>
      </c>
      <c r="V44" s="271">
        <v>0</v>
      </c>
      <c r="W44" s="271"/>
      <c r="X44" s="271">
        <f t="shared" si="1"/>
        <v>0</v>
      </c>
      <c r="Z44" s="63"/>
      <c r="AA44" s="289"/>
    </row>
    <row r="45" spans="1:27">
      <c r="A45" s="231">
        <v>7033</v>
      </c>
      <c r="B45" s="4">
        <v>103613</v>
      </c>
      <c r="C45" s="4" t="s">
        <v>344</v>
      </c>
      <c r="D45" s="4" t="s">
        <v>345</v>
      </c>
      <c r="E45" s="213" t="s">
        <v>1093</v>
      </c>
      <c r="F45" s="248" t="s">
        <v>229</v>
      </c>
      <c r="G45" s="37"/>
      <c r="H45" s="271">
        <v>0</v>
      </c>
      <c r="I45" s="271">
        <v>0</v>
      </c>
      <c r="J45" s="271">
        <v>0</v>
      </c>
      <c r="K45" s="271">
        <v>0</v>
      </c>
      <c r="L45" s="271">
        <v>0</v>
      </c>
      <c r="M45" s="271">
        <v>0</v>
      </c>
      <c r="N45" s="271">
        <v>0</v>
      </c>
      <c r="O45" s="271">
        <f t="shared" si="0"/>
        <v>0</v>
      </c>
      <c r="P45" s="37"/>
      <c r="Q45" s="271">
        <v>0</v>
      </c>
      <c r="R45" s="271">
        <v>0</v>
      </c>
      <c r="S45" s="271">
        <v>0</v>
      </c>
      <c r="T45" s="271">
        <v>0</v>
      </c>
      <c r="U45" s="271">
        <v>0</v>
      </c>
      <c r="V45" s="271">
        <v>0</v>
      </c>
      <c r="W45" s="271"/>
      <c r="X45" s="271">
        <f t="shared" si="1"/>
        <v>0</v>
      </c>
      <c r="Z45" s="63"/>
      <c r="AA45" s="289"/>
    </row>
    <row r="46" spans="1:27">
      <c r="A46" s="231">
        <v>4177</v>
      </c>
      <c r="B46" s="4">
        <v>103498</v>
      </c>
      <c r="C46" s="4" t="s">
        <v>347</v>
      </c>
      <c r="D46" s="4" t="s">
        <v>348</v>
      </c>
      <c r="E46" s="213" t="s">
        <v>6</v>
      </c>
      <c r="F46" s="248" t="s">
        <v>229</v>
      </c>
      <c r="G46" s="37"/>
      <c r="H46" s="271">
        <v>0</v>
      </c>
      <c r="I46" s="271">
        <v>0</v>
      </c>
      <c r="J46" s="271">
        <v>0</v>
      </c>
      <c r="K46" s="271">
        <v>0</v>
      </c>
      <c r="L46" s="271">
        <v>0</v>
      </c>
      <c r="M46" s="271">
        <v>0</v>
      </c>
      <c r="N46" s="271">
        <v>0</v>
      </c>
      <c r="O46" s="271">
        <f t="shared" si="0"/>
        <v>0</v>
      </c>
      <c r="P46" s="37"/>
      <c r="Q46" s="271">
        <v>0</v>
      </c>
      <c r="R46" s="271">
        <v>0</v>
      </c>
      <c r="S46" s="271">
        <v>0</v>
      </c>
      <c r="T46" s="271">
        <v>0</v>
      </c>
      <c r="U46" s="271">
        <v>0</v>
      </c>
      <c r="V46" s="271">
        <v>0</v>
      </c>
      <c r="W46" s="271"/>
      <c r="X46" s="271">
        <f t="shared" si="1"/>
        <v>0</v>
      </c>
      <c r="Z46" s="63"/>
      <c r="AA46" s="289"/>
    </row>
    <row r="47" spans="1:27">
      <c r="A47" s="231">
        <v>1038</v>
      </c>
      <c r="B47" s="4">
        <v>103142</v>
      </c>
      <c r="C47" s="4" t="s">
        <v>350</v>
      </c>
      <c r="D47" s="4" t="s">
        <v>351</v>
      </c>
      <c r="E47" s="213" t="s">
        <v>180</v>
      </c>
      <c r="F47" s="248" t="s">
        <v>229</v>
      </c>
      <c r="G47" s="37"/>
      <c r="H47" s="271">
        <v>387882.3</v>
      </c>
      <c r="I47" s="271">
        <v>170013.6</v>
      </c>
      <c r="J47" s="271">
        <v>16079.7</v>
      </c>
      <c r="K47" s="271">
        <v>5232</v>
      </c>
      <c r="L47" s="271">
        <v>10975.2</v>
      </c>
      <c r="M47" s="271">
        <v>253803.32333333333</v>
      </c>
      <c r="N47" s="271">
        <v>0</v>
      </c>
      <c r="O47" s="271">
        <f t="shared" si="0"/>
        <v>843986.12333333329</v>
      </c>
      <c r="P47" s="37"/>
      <c r="Q47" s="271">
        <v>329164.5</v>
      </c>
      <c r="R47" s="271">
        <v>121818.26999999999</v>
      </c>
      <c r="S47" s="271">
        <v>32862.888549618321</v>
      </c>
      <c r="T47" s="271">
        <v>20710</v>
      </c>
      <c r="U47" s="271">
        <v>15679.8</v>
      </c>
      <c r="V47" s="271">
        <v>229583.66536320251</v>
      </c>
      <c r="W47" s="271"/>
      <c r="X47" s="271">
        <f t="shared" si="1"/>
        <v>749819.12391282083</v>
      </c>
      <c r="Z47" s="63"/>
      <c r="AA47" s="289"/>
    </row>
    <row r="48" spans="1:27">
      <c r="A48" s="231">
        <v>2174</v>
      </c>
      <c r="B48" s="4">
        <v>103255</v>
      </c>
      <c r="C48" s="4" t="s">
        <v>353</v>
      </c>
      <c r="D48" s="4" t="s">
        <v>354</v>
      </c>
      <c r="E48" s="213" t="s">
        <v>5</v>
      </c>
      <c r="F48" s="248" t="s">
        <v>229</v>
      </c>
      <c r="G48" s="37"/>
      <c r="H48" s="271">
        <v>0</v>
      </c>
      <c r="I48" s="271">
        <v>0</v>
      </c>
      <c r="J48" s="271">
        <v>0</v>
      </c>
      <c r="K48" s="271">
        <v>0</v>
      </c>
      <c r="L48" s="271">
        <v>0</v>
      </c>
      <c r="M48" s="271">
        <v>0</v>
      </c>
      <c r="N48" s="271">
        <v>0</v>
      </c>
      <c r="O48" s="271">
        <f t="shared" si="0"/>
        <v>0</v>
      </c>
      <c r="P48" s="37"/>
      <c r="Q48" s="271">
        <v>0</v>
      </c>
      <c r="R48" s="271">
        <v>0</v>
      </c>
      <c r="S48" s="271">
        <v>0</v>
      </c>
      <c r="T48" s="271">
        <v>0</v>
      </c>
      <c r="U48" s="271">
        <v>0</v>
      </c>
      <c r="V48" s="271">
        <v>0</v>
      </c>
      <c r="W48" s="271"/>
      <c r="X48" s="271">
        <f t="shared" si="1"/>
        <v>0</v>
      </c>
      <c r="Z48" s="63"/>
      <c r="AA48" s="289"/>
    </row>
    <row r="49" spans="1:27">
      <c r="A49" s="231">
        <v>3363</v>
      </c>
      <c r="B49" s="4">
        <v>103455</v>
      </c>
      <c r="C49" s="4" t="s">
        <v>356</v>
      </c>
      <c r="D49" s="4" t="s">
        <v>357</v>
      </c>
      <c r="E49" s="213" t="s">
        <v>5</v>
      </c>
      <c r="F49" s="248" t="s">
        <v>229</v>
      </c>
      <c r="G49" s="37"/>
      <c r="H49" s="271">
        <v>71544</v>
      </c>
      <c r="I49" s="271">
        <v>0</v>
      </c>
      <c r="J49" s="271">
        <v>843.59999999999991</v>
      </c>
      <c r="K49" s="271">
        <v>1090</v>
      </c>
      <c r="L49" s="271">
        <v>1570.8</v>
      </c>
      <c r="M49" s="271">
        <v>0</v>
      </c>
      <c r="N49" s="271">
        <v>0</v>
      </c>
      <c r="O49" s="271">
        <f t="shared" si="0"/>
        <v>75048.400000000009</v>
      </c>
      <c r="P49" s="37"/>
      <c r="Q49" s="271">
        <v>73461</v>
      </c>
      <c r="R49" s="271">
        <v>0</v>
      </c>
      <c r="S49" s="271">
        <v>2599.3846153846157</v>
      </c>
      <c r="T49" s="271">
        <v>5450</v>
      </c>
      <c r="U49" s="271">
        <v>604.5</v>
      </c>
      <c r="V49" s="271">
        <v>0</v>
      </c>
      <c r="W49" s="271"/>
      <c r="X49" s="271">
        <f t="shared" si="1"/>
        <v>82114.88461538461</v>
      </c>
      <c r="Z49" s="63"/>
      <c r="AA49" s="289"/>
    </row>
    <row r="50" spans="1:27">
      <c r="A50" s="231">
        <v>3377</v>
      </c>
      <c r="B50" s="4">
        <v>103463</v>
      </c>
      <c r="C50" s="4" t="s">
        <v>359</v>
      </c>
      <c r="D50" s="4" t="s">
        <v>360</v>
      </c>
      <c r="E50" s="213" t="s">
        <v>5</v>
      </c>
      <c r="F50" s="248" t="s">
        <v>229</v>
      </c>
      <c r="G50" s="37"/>
      <c r="H50" s="271">
        <v>54633.600000000006</v>
      </c>
      <c r="I50" s="271">
        <v>0</v>
      </c>
      <c r="J50" s="271">
        <v>4531.5</v>
      </c>
      <c r="K50" s="271">
        <v>0</v>
      </c>
      <c r="L50" s="271">
        <v>4518.6000000000004</v>
      </c>
      <c r="M50" s="271">
        <v>0</v>
      </c>
      <c r="N50" s="271">
        <v>0</v>
      </c>
      <c r="O50" s="271">
        <f t="shared" si="0"/>
        <v>63683.700000000004</v>
      </c>
      <c r="P50" s="37"/>
      <c r="Q50" s="271">
        <v>39550.5</v>
      </c>
      <c r="R50" s="271">
        <v>0</v>
      </c>
      <c r="S50" s="271">
        <v>5842.2000000000007</v>
      </c>
      <c r="T50" s="271">
        <v>0</v>
      </c>
      <c r="U50" s="271">
        <v>2055.3000000000002</v>
      </c>
      <c r="V50" s="271">
        <v>0</v>
      </c>
      <c r="W50" s="271"/>
      <c r="X50" s="271">
        <f t="shared" si="1"/>
        <v>47448</v>
      </c>
      <c r="Z50" s="63"/>
      <c r="AA50" s="289"/>
    </row>
    <row r="51" spans="1:27">
      <c r="A51" s="231">
        <v>3371</v>
      </c>
      <c r="B51" s="4">
        <v>103459</v>
      </c>
      <c r="C51" s="4" t="s">
        <v>362</v>
      </c>
      <c r="D51" s="4" t="s">
        <v>363</v>
      </c>
      <c r="E51" s="213" t="s">
        <v>5</v>
      </c>
      <c r="F51" s="248" t="s">
        <v>229</v>
      </c>
      <c r="G51" s="37"/>
      <c r="H51" s="271">
        <v>0</v>
      </c>
      <c r="I51" s="271">
        <v>0</v>
      </c>
      <c r="J51" s="271">
        <v>0</v>
      </c>
      <c r="K51" s="271">
        <v>0</v>
      </c>
      <c r="L51" s="271">
        <v>0</v>
      </c>
      <c r="M51" s="271">
        <v>0</v>
      </c>
      <c r="N51" s="271">
        <v>0</v>
      </c>
      <c r="O51" s="271">
        <f t="shared" si="0"/>
        <v>0</v>
      </c>
      <c r="P51" s="37"/>
      <c r="Q51" s="271">
        <v>0</v>
      </c>
      <c r="R51" s="271">
        <v>0</v>
      </c>
      <c r="S51" s="271">
        <v>0</v>
      </c>
      <c r="T51" s="271">
        <v>0</v>
      </c>
      <c r="U51" s="271">
        <v>0</v>
      </c>
      <c r="V51" s="271">
        <v>0</v>
      </c>
      <c r="W51" s="271"/>
      <c r="X51" s="271">
        <f t="shared" si="1"/>
        <v>0</v>
      </c>
      <c r="Z51" s="63"/>
      <c r="AA51" s="289"/>
    </row>
    <row r="52" spans="1:27">
      <c r="A52" s="231">
        <v>3016</v>
      </c>
      <c r="B52" s="4">
        <v>103404</v>
      </c>
      <c r="C52" s="4" t="s">
        <v>365</v>
      </c>
      <c r="D52" s="4" t="s">
        <v>366</v>
      </c>
      <c r="E52" s="213" t="s">
        <v>5</v>
      </c>
      <c r="F52" s="248" t="s">
        <v>229</v>
      </c>
      <c r="G52" s="37"/>
      <c r="H52" s="271">
        <v>0</v>
      </c>
      <c r="I52" s="271">
        <v>0</v>
      </c>
      <c r="J52" s="271">
        <v>0</v>
      </c>
      <c r="K52" s="271">
        <v>0</v>
      </c>
      <c r="L52" s="271">
        <v>0</v>
      </c>
      <c r="M52" s="271">
        <v>0</v>
      </c>
      <c r="N52" s="271">
        <v>0</v>
      </c>
      <c r="O52" s="271">
        <f t="shared" si="0"/>
        <v>0</v>
      </c>
      <c r="P52" s="37"/>
      <c r="Q52" s="271">
        <v>0</v>
      </c>
      <c r="R52" s="271">
        <v>0</v>
      </c>
      <c r="S52" s="271">
        <v>0</v>
      </c>
      <c r="T52" s="271">
        <v>0</v>
      </c>
      <c r="U52" s="271">
        <v>0</v>
      </c>
      <c r="V52" s="271">
        <v>0</v>
      </c>
      <c r="W52" s="271"/>
      <c r="X52" s="271">
        <f t="shared" si="1"/>
        <v>0</v>
      </c>
      <c r="Z52" s="63"/>
      <c r="AA52" s="289"/>
    </row>
    <row r="53" spans="1:27">
      <c r="A53" s="231">
        <v>4606</v>
      </c>
      <c r="B53" s="4">
        <v>103531</v>
      </c>
      <c r="C53" s="4" t="s">
        <v>368</v>
      </c>
      <c r="D53" s="4" t="s">
        <v>369</v>
      </c>
      <c r="E53" s="213" t="s">
        <v>6</v>
      </c>
      <c r="F53" s="248" t="s">
        <v>229</v>
      </c>
      <c r="G53" s="37"/>
      <c r="H53" s="271">
        <v>0</v>
      </c>
      <c r="I53" s="271">
        <v>0</v>
      </c>
      <c r="J53" s="271">
        <v>0</v>
      </c>
      <c r="K53" s="271">
        <v>0</v>
      </c>
      <c r="L53" s="271">
        <v>0</v>
      </c>
      <c r="M53" s="271">
        <v>0</v>
      </c>
      <c r="N53" s="271">
        <v>0</v>
      </c>
      <c r="O53" s="271">
        <f t="shared" si="0"/>
        <v>0</v>
      </c>
      <c r="P53" s="37"/>
      <c r="Q53" s="271">
        <v>0</v>
      </c>
      <c r="R53" s="271">
        <v>0</v>
      </c>
      <c r="S53" s="271">
        <v>0</v>
      </c>
      <c r="T53" s="271">
        <v>0</v>
      </c>
      <c r="U53" s="271">
        <v>0</v>
      </c>
      <c r="V53" s="271">
        <v>0</v>
      </c>
      <c r="W53" s="271"/>
      <c r="X53" s="271">
        <f t="shared" si="1"/>
        <v>0</v>
      </c>
      <c r="Z53" s="63"/>
      <c r="AA53" s="289"/>
    </row>
    <row r="54" spans="1:27">
      <c r="A54" s="231">
        <v>3428</v>
      </c>
      <c r="B54" s="4">
        <v>134476</v>
      </c>
      <c r="C54" s="4" t="s">
        <v>371</v>
      </c>
      <c r="D54" s="4" t="s">
        <v>372</v>
      </c>
      <c r="E54" s="213" t="s">
        <v>5</v>
      </c>
      <c r="F54" s="248" t="s">
        <v>229</v>
      </c>
      <c r="G54" s="37"/>
      <c r="H54" s="271">
        <v>85364.999999999985</v>
      </c>
      <c r="I54" s="271">
        <v>0</v>
      </c>
      <c r="J54" s="271">
        <v>0</v>
      </c>
      <c r="K54" s="271">
        <v>1526</v>
      </c>
      <c r="L54" s="271">
        <v>2101.2000000000003</v>
      </c>
      <c r="M54" s="271">
        <v>0</v>
      </c>
      <c r="N54" s="271">
        <v>0</v>
      </c>
      <c r="O54" s="271">
        <f t="shared" si="0"/>
        <v>88992.199999999983</v>
      </c>
      <c r="P54" s="37"/>
      <c r="Q54" s="271">
        <v>121119</v>
      </c>
      <c r="R54" s="271">
        <v>1045.8</v>
      </c>
      <c r="S54" s="271">
        <v>1773.0081081081082</v>
      </c>
      <c r="T54" s="271">
        <v>3815</v>
      </c>
      <c r="U54" s="271">
        <v>1934.4</v>
      </c>
      <c r="V54" s="271">
        <v>0</v>
      </c>
      <c r="W54" s="271"/>
      <c r="X54" s="271">
        <f t="shared" si="1"/>
        <v>129687.20810810811</v>
      </c>
      <c r="Z54" s="63"/>
      <c r="AA54" s="289"/>
    </row>
    <row r="55" spans="1:27">
      <c r="A55" s="231">
        <v>4237</v>
      </c>
      <c r="B55" s="4">
        <v>103514</v>
      </c>
      <c r="C55" s="4" t="s">
        <v>374</v>
      </c>
      <c r="D55" s="4" t="s">
        <v>375</v>
      </c>
      <c r="E55" s="213" t="s">
        <v>6</v>
      </c>
      <c r="F55" s="248" t="s">
        <v>229</v>
      </c>
      <c r="G55" s="37"/>
      <c r="H55" s="271">
        <v>0</v>
      </c>
      <c r="I55" s="271">
        <v>0</v>
      </c>
      <c r="J55" s="271">
        <v>0</v>
      </c>
      <c r="K55" s="271">
        <v>0</v>
      </c>
      <c r="L55" s="271">
        <v>0</v>
      </c>
      <c r="M55" s="271">
        <v>0</v>
      </c>
      <c r="N55" s="271">
        <v>0</v>
      </c>
      <c r="O55" s="271">
        <f t="shared" si="0"/>
        <v>0</v>
      </c>
      <c r="P55" s="37"/>
      <c r="Q55" s="271">
        <v>0</v>
      </c>
      <c r="R55" s="271">
        <v>0</v>
      </c>
      <c r="S55" s="271">
        <v>0</v>
      </c>
      <c r="T55" s="271">
        <v>0</v>
      </c>
      <c r="U55" s="271">
        <v>0</v>
      </c>
      <c r="V55" s="271">
        <v>0</v>
      </c>
      <c r="W55" s="271"/>
      <c r="X55" s="271">
        <f t="shared" si="1"/>
        <v>0</v>
      </c>
      <c r="Z55" s="63"/>
      <c r="AA55" s="289"/>
    </row>
    <row r="56" spans="1:27">
      <c r="A56" s="231">
        <v>3323</v>
      </c>
      <c r="B56" s="4">
        <v>103427</v>
      </c>
      <c r="C56" s="4" t="s">
        <v>377</v>
      </c>
      <c r="D56" s="4" t="s">
        <v>378</v>
      </c>
      <c r="E56" s="213" t="s">
        <v>5</v>
      </c>
      <c r="F56" s="248" t="s">
        <v>229</v>
      </c>
      <c r="G56" s="37"/>
      <c r="H56" s="271">
        <v>54877.5</v>
      </c>
      <c r="I56" s="271">
        <v>0</v>
      </c>
      <c r="J56" s="271">
        <v>5004.6000000000004</v>
      </c>
      <c r="K56" s="271">
        <v>0</v>
      </c>
      <c r="L56" s="271">
        <v>1326</v>
      </c>
      <c r="M56" s="271">
        <v>0</v>
      </c>
      <c r="N56" s="271">
        <v>0</v>
      </c>
      <c r="O56" s="271">
        <f t="shared" si="0"/>
        <v>61208.1</v>
      </c>
      <c r="P56" s="37"/>
      <c r="Q56" s="271">
        <v>57387</v>
      </c>
      <c r="R56" s="271">
        <v>0</v>
      </c>
      <c r="S56" s="271">
        <v>7121.8583333333336</v>
      </c>
      <c r="T56" s="271">
        <v>0</v>
      </c>
      <c r="U56" s="271">
        <v>2901.6</v>
      </c>
      <c r="V56" s="271">
        <v>0</v>
      </c>
      <c r="W56" s="271"/>
      <c r="X56" s="271">
        <f t="shared" si="1"/>
        <v>67410.458333333343</v>
      </c>
      <c r="Z56" s="63"/>
      <c r="AA56" s="289"/>
    </row>
    <row r="57" spans="1:27">
      <c r="A57" s="231">
        <v>7014</v>
      </c>
      <c r="B57" s="4">
        <v>103605</v>
      </c>
      <c r="C57" s="4" t="s">
        <v>380</v>
      </c>
      <c r="D57" s="4" t="s">
        <v>381</v>
      </c>
      <c r="E57" s="213" t="s">
        <v>1093</v>
      </c>
      <c r="F57" s="248" t="s">
        <v>229</v>
      </c>
      <c r="G57" s="37"/>
      <c r="H57" s="271">
        <v>0</v>
      </c>
      <c r="I57" s="271">
        <v>0</v>
      </c>
      <c r="J57" s="271">
        <v>0</v>
      </c>
      <c r="K57" s="271">
        <v>0</v>
      </c>
      <c r="L57" s="271">
        <v>0</v>
      </c>
      <c r="M57" s="271">
        <v>0</v>
      </c>
      <c r="N57" s="271">
        <v>0</v>
      </c>
      <c r="O57" s="271">
        <f t="shared" si="0"/>
        <v>0</v>
      </c>
      <c r="P57" s="37"/>
      <c r="Q57" s="271">
        <v>0</v>
      </c>
      <c r="R57" s="271">
        <v>0</v>
      </c>
      <c r="S57" s="271">
        <v>0</v>
      </c>
      <c r="T57" s="271">
        <v>0</v>
      </c>
      <c r="U57" s="271">
        <v>0</v>
      </c>
      <c r="V57" s="271">
        <v>0</v>
      </c>
      <c r="W57" s="271"/>
      <c r="X57" s="271">
        <f t="shared" si="1"/>
        <v>0</v>
      </c>
      <c r="Z57" s="63"/>
      <c r="AA57" s="289"/>
    </row>
    <row r="58" spans="1:27">
      <c r="A58" s="231">
        <v>7009</v>
      </c>
      <c r="B58" s="4">
        <v>103601</v>
      </c>
      <c r="C58" s="4" t="s">
        <v>383</v>
      </c>
      <c r="D58" s="4" t="s">
        <v>384</v>
      </c>
      <c r="E58" s="213" t="s">
        <v>1093</v>
      </c>
      <c r="F58" s="248" t="s">
        <v>229</v>
      </c>
      <c r="G58" s="37"/>
      <c r="H58" s="271">
        <v>16422.599999999999</v>
      </c>
      <c r="I58" s="271">
        <v>1591.2</v>
      </c>
      <c r="J58" s="271">
        <v>210.89999999999998</v>
      </c>
      <c r="K58" s="271">
        <v>436</v>
      </c>
      <c r="L58" s="271">
        <v>1285.2</v>
      </c>
      <c r="M58" s="271">
        <v>0</v>
      </c>
      <c r="N58" s="271">
        <v>0</v>
      </c>
      <c r="O58" s="271">
        <f t="shared" si="0"/>
        <v>19945.900000000001</v>
      </c>
      <c r="P58" s="37"/>
      <c r="Q58" s="271">
        <v>0</v>
      </c>
      <c r="R58" s="271">
        <v>0</v>
      </c>
      <c r="S58" s="271">
        <v>0</v>
      </c>
      <c r="T58" s="271">
        <v>0</v>
      </c>
      <c r="U58" s="271">
        <v>0</v>
      </c>
      <c r="V58" s="271">
        <v>0</v>
      </c>
      <c r="W58" s="271"/>
      <c r="X58" s="271">
        <f t="shared" si="1"/>
        <v>0</v>
      </c>
      <c r="Z58" s="63"/>
      <c r="AA58" s="289"/>
    </row>
    <row r="59" spans="1:27">
      <c r="A59" s="231">
        <v>5203</v>
      </c>
      <c r="B59" s="4">
        <v>103544</v>
      </c>
      <c r="C59" s="4" t="s">
        <v>386</v>
      </c>
      <c r="D59" s="4" t="s">
        <v>387</v>
      </c>
      <c r="E59" s="213" t="s">
        <v>5</v>
      </c>
      <c r="F59" s="248" t="s">
        <v>229</v>
      </c>
      <c r="G59" s="37"/>
      <c r="H59" s="271">
        <v>273899.7</v>
      </c>
      <c r="I59" s="271">
        <v>0</v>
      </c>
      <c r="J59" s="271">
        <v>530.1</v>
      </c>
      <c r="K59" s="271">
        <v>436</v>
      </c>
      <c r="L59" s="271">
        <v>530.40000000000009</v>
      </c>
      <c r="M59" s="271">
        <v>0</v>
      </c>
      <c r="N59" s="271">
        <v>0</v>
      </c>
      <c r="O59" s="271">
        <f t="shared" si="0"/>
        <v>275396.2</v>
      </c>
      <c r="P59" s="37"/>
      <c r="Q59" s="271">
        <v>244987.5</v>
      </c>
      <c r="R59" s="271">
        <v>0</v>
      </c>
      <c r="S59" s="271">
        <v>0</v>
      </c>
      <c r="T59" s="271">
        <v>1090</v>
      </c>
      <c r="U59" s="271">
        <v>483.6</v>
      </c>
      <c r="V59" s="271">
        <v>0</v>
      </c>
      <c r="W59" s="271"/>
      <c r="X59" s="271">
        <f t="shared" si="1"/>
        <v>246561.1</v>
      </c>
      <c r="Z59" s="63"/>
      <c r="AA59" s="289"/>
    </row>
    <row r="60" spans="1:27">
      <c r="A60" s="231">
        <v>5202</v>
      </c>
      <c r="B60" s="4">
        <v>103543</v>
      </c>
      <c r="C60" s="4" t="s">
        <v>389</v>
      </c>
      <c r="D60" s="4" t="s">
        <v>390</v>
      </c>
      <c r="E60" s="213" t="s">
        <v>5</v>
      </c>
      <c r="F60" s="248" t="s">
        <v>229</v>
      </c>
      <c r="G60" s="37"/>
      <c r="H60" s="271">
        <v>0</v>
      </c>
      <c r="I60" s="271">
        <v>0</v>
      </c>
      <c r="J60" s="271">
        <v>0</v>
      </c>
      <c r="K60" s="271">
        <v>0</v>
      </c>
      <c r="L60" s="271">
        <v>0</v>
      </c>
      <c r="M60" s="271">
        <v>0</v>
      </c>
      <c r="N60" s="271">
        <v>0</v>
      </c>
      <c r="O60" s="271">
        <f t="shared" si="0"/>
        <v>0</v>
      </c>
      <c r="P60" s="37"/>
      <c r="Q60" s="271">
        <v>0</v>
      </c>
      <c r="R60" s="271">
        <v>0</v>
      </c>
      <c r="S60" s="271">
        <v>0</v>
      </c>
      <c r="T60" s="271">
        <v>0</v>
      </c>
      <c r="U60" s="271">
        <v>0</v>
      </c>
      <c r="V60" s="271">
        <v>0</v>
      </c>
      <c r="W60" s="271"/>
      <c r="X60" s="271">
        <f t="shared" si="1"/>
        <v>0</v>
      </c>
      <c r="Z60" s="63"/>
      <c r="AA60" s="289"/>
    </row>
    <row r="61" spans="1:27">
      <c r="A61" s="231">
        <v>2308</v>
      </c>
      <c r="B61" s="4">
        <v>103328</v>
      </c>
      <c r="C61" s="4" t="s">
        <v>392</v>
      </c>
      <c r="D61" s="4" t="s">
        <v>393</v>
      </c>
      <c r="E61" s="213" t="s">
        <v>5</v>
      </c>
      <c r="F61" s="248" t="s">
        <v>229</v>
      </c>
      <c r="G61" s="37"/>
      <c r="H61" s="271">
        <v>144632.69999999998</v>
      </c>
      <c r="I61" s="271">
        <v>0</v>
      </c>
      <c r="J61" s="271">
        <v>4451.6999999999989</v>
      </c>
      <c r="K61" s="271">
        <v>0</v>
      </c>
      <c r="L61" s="271">
        <v>6344.4000000000005</v>
      </c>
      <c r="M61" s="271">
        <v>0</v>
      </c>
      <c r="N61" s="271">
        <v>0</v>
      </c>
      <c r="O61" s="271">
        <f t="shared" si="0"/>
        <v>155428.79999999999</v>
      </c>
      <c r="P61" s="37"/>
      <c r="Q61" s="271">
        <v>108852</v>
      </c>
      <c r="R61" s="271">
        <v>0</v>
      </c>
      <c r="S61" s="271">
        <v>6944.7947368421046</v>
      </c>
      <c r="T61" s="271">
        <v>0</v>
      </c>
      <c r="U61" s="271">
        <v>2659.8</v>
      </c>
      <c r="V61" s="271">
        <v>0</v>
      </c>
      <c r="W61" s="271"/>
      <c r="X61" s="271">
        <f t="shared" si="1"/>
        <v>118456.5947368421</v>
      </c>
      <c r="Z61" s="63"/>
      <c r="AA61" s="289"/>
    </row>
    <row r="62" spans="1:27">
      <c r="A62" s="231">
        <v>2011</v>
      </c>
      <c r="B62" s="4">
        <v>134099</v>
      </c>
      <c r="C62" s="4" t="s">
        <v>395</v>
      </c>
      <c r="D62" s="4" t="s">
        <v>396</v>
      </c>
      <c r="E62" s="213" t="s">
        <v>5</v>
      </c>
      <c r="F62" s="248" t="s">
        <v>229</v>
      </c>
      <c r="G62" s="37"/>
      <c r="H62" s="271">
        <v>118535.4</v>
      </c>
      <c r="I62" s="271">
        <v>0</v>
      </c>
      <c r="J62" s="271">
        <v>3083.7000000000003</v>
      </c>
      <c r="K62" s="271">
        <v>2834</v>
      </c>
      <c r="L62" s="271">
        <v>5314.2000000000007</v>
      </c>
      <c r="M62" s="271">
        <v>0</v>
      </c>
      <c r="N62" s="271">
        <v>0</v>
      </c>
      <c r="O62" s="271">
        <f t="shared" si="0"/>
        <v>129767.29999999999</v>
      </c>
      <c r="P62" s="37"/>
      <c r="Q62" s="271">
        <v>101943</v>
      </c>
      <c r="R62" s="271">
        <v>0</v>
      </c>
      <c r="S62" s="271">
        <v>3807.3</v>
      </c>
      <c r="T62" s="271">
        <v>5450</v>
      </c>
      <c r="U62" s="271">
        <v>1209</v>
      </c>
      <c r="V62" s="271">
        <v>0</v>
      </c>
      <c r="W62" s="271"/>
      <c r="X62" s="271">
        <f t="shared" si="1"/>
        <v>112409.3</v>
      </c>
      <c r="Z62" s="63"/>
      <c r="AA62" s="289"/>
    </row>
    <row r="63" spans="1:27">
      <c r="A63" s="231">
        <v>4193</v>
      </c>
      <c r="B63" s="4">
        <v>103501</v>
      </c>
      <c r="C63" s="4" t="s">
        <v>398</v>
      </c>
      <c r="D63" s="4" t="s">
        <v>399</v>
      </c>
      <c r="E63" s="213" t="s">
        <v>6</v>
      </c>
      <c r="F63" s="248" t="s">
        <v>229</v>
      </c>
      <c r="G63" s="37"/>
      <c r="H63" s="271">
        <v>0</v>
      </c>
      <c r="I63" s="271">
        <v>0</v>
      </c>
      <c r="J63" s="271">
        <v>0</v>
      </c>
      <c r="K63" s="271">
        <v>0</v>
      </c>
      <c r="L63" s="271">
        <v>0</v>
      </c>
      <c r="M63" s="271">
        <v>0</v>
      </c>
      <c r="N63" s="271">
        <v>0</v>
      </c>
      <c r="O63" s="271">
        <f t="shared" si="0"/>
        <v>0</v>
      </c>
      <c r="P63" s="37"/>
      <c r="Q63" s="271">
        <v>0</v>
      </c>
      <c r="R63" s="271">
        <v>0</v>
      </c>
      <c r="S63" s="271">
        <v>0</v>
      </c>
      <c r="T63" s="271">
        <v>0</v>
      </c>
      <c r="U63" s="271">
        <v>0</v>
      </c>
      <c r="V63" s="271">
        <v>0</v>
      </c>
      <c r="W63" s="271"/>
      <c r="X63" s="271">
        <f t="shared" si="1"/>
        <v>0</v>
      </c>
      <c r="Z63" s="63"/>
      <c r="AA63" s="289"/>
    </row>
    <row r="64" spans="1:27">
      <c r="A64" s="231">
        <v>2293</v>
      </c>
      <c r="B64" s="4">
        <v>103317</v>
      </c>
      <c r="C64" s="4" t="s">
        <v>401</v>
      </c>
      <c r="D64" s="4" t="s">
        <v>402</v>
      </c>
      <c r="E64" s="213" t="s">
        <v>5</v>
      </c>
      <c r="F64" s="248" t="s">
        <v>229</v>
      </c>
      <c r="G64" s="37"/>
      <c r="H64" s="271">
        <v>137478.30000000002</v>
      </c>
      <c r="I64" s="271">
        <v>0</v>
      </c>
      <c r="J64" s="271">
        <v>2992.5</v>
      </c>
      <c r="K64" s="271">
        <v>0</v>
      </c>
      <c r="L64" s="271">
        <v>4192.2000000000007</v>
      </c>
      <c r="M64" s="271">
        <v>0</v>
      </c>
      <c r="N64" s="271">
        <v>0</v>
      </c>
      <c r="O64" s="271">
        <f t="shared" si="0"/>
        <v>144663.00000000003</v>
      </c>
      <c r="P64" s="37"/>
      <c r="Q64" s="271">
        <v>114492</v>
      </c>
      <c r="R64" s="271">
        <v>0</v>
      </c>
      <c r="S64" s="271">
        <v>3199.0359374999998</v>
      </c>
      <c r="T64" s="271">
        <v>0</v>
      </c>
      <c r="U64" s="271">
        <v>0</v>
      </c>
      <c r="V64" s="271">
        <v>0</v>
      </c>
      <c r="W64" s="271"/>
      <c r="X64" s="271">
        <f t="shared" si="1"/>
        <v>117691.0359375</v>
      </c>
      <c r="Z64" s="63"/>
      <c r="AA64" s="289"/>
    </row>
    <row r="65" spans="1:27">
      <c r="A65" s="231">
        <v>2225</v>
      </c>
      <c r="B65" s="4">
        <v>103279</v>
      </c>
      <c r="C65" s="4" t="s">
        <v>404</v>
      </c>
      <c r="D65" s="4" t="s">
        <v>405</v>
      </c>
      <c r="E65" s="213" t="s">
        <v>5</v>
      </c>
      <c r="F65" s="248" t="s">
        <v>229</v>
      </c>
      <c r="G65" s="37"/>
      <c r="H65" s="271">
        <v>0</v>
      </c>
      <c r="I65" s="271">
        <v>0</v>
      </c>
      <c r="J65" s="271">
        <v>0</v>
      </c>
      <c r="K65" s="271">
        <v>0</v>
      </c>
      <c r="L65" s="271">
        <v>0</v>
      </c>
      <c r="M65" s="271">
        <v>0</v>
      </c>
      <c r="N65" s="271">
        <v>0</v>
      </c>
      <c r="O65" s="271">
        <f t="shared" si="0"/>
        <v>0</v>
      </c>
      <c r="P65" s="37"/>
      <c r="Q65" s="271">
        <v>0</v>
      </c>
      <c r="R65" s="271">
        <v>0</v>
      </c>
      <c r="S65" s="271">
        <v>0</v>
      </c>
      <c r="T65" s="271">
        <v>0</v>
      </c>
      <c r="U65" s="271">
        <v>0</v>
      </c>
      <c r="V65" s="271">
        <v>0</v>
      </c>
      <c r="W65" s="271"/>
      <c r="X65" s="271">
        <f t="shared" si="1"/>
        <v>0</v>
      </c>
      <c r="Z65" s="63"/>
      <c r="AA65" s="289"/>
    </row>
    <row r="66" spans="1:27">
      <c r="A66" s="231">
        <v>2412</v>
      </c>
      <c r="B66" s="4">
        <v>103349</v>
      </c>
      <c r="C66" s="4" t="s">
        <v>407</v>
      </c>
      <c r="D66" s="4" t="s">
        <v>408</v>
      </c>
      <c r="E66" s="213" t="s">
        <v>5</v>
      </c>
      <c r="F66" s="248" t="s">
        <v>229</v>
      </c>
      <c r="G66" s="37"/>
      <c r="H66" s="271">
        <v>0</v>
      </c>
      <c r="I66" s="271">
        <v>0</v>
      </c>
      <c r="J66" s="271">
        <v>0</v>
      </c>
      <c r="K66" s="271">
        <v>0</v>
      </c>
      <c r="L66" s="271">
        <v>0</v>
      </c>
      <c r="M66" s="271">
        <v>0</v>
      </c>
      <c r="N66" s="271">
        <v>0</v>
      </c>
      <c r="O66" s="271">
        <f t="shared" si="0"/>
        <v>0</v>
      </c>
      <c r="P66" s="37"/>
      <c r="Q66" s="271">
        <v>0</v>
      </c>
      <c r="R66" s="271">
        <v>0</v>
      </c>
      <c r="S66" s="271">
        <v>0</v>
      </c>
      <c r="T66" s="271">
        <v>0</v>
      </c>
      <c r="U66" s="271">
        <v>0</v>
      </c>
      <c r="V66" s="271">
        <v>0</v>
      </c>
      <c r="W66" s="271"/>
      <c r="X66" s="271">
        <f t="shared" si="1"/>
        <v>0</v>
      </c>
      <c r="Z66" s="63"/>
      <c r="AA66" s="289"/>
    </row>
    <row r="67" spans="1:27">
      <c r="A67" s="231">
        <v>2478</v>
      </c>
      <c r="B67" s="4">
        <v>132007</v>
      </c>
      <c r="C67" s="4" t="s">
        <v>565</v>
      </c>
      <c r="D67" s="4" t="s">
        <v>566</v>
      </c>
      <c r="E67" s="213" t="s">
        <v>5</v>
      </c>
      <c r="F67" s="248" t="s">
        <v>229</v>
      </c>
      <c r="G67" s="37"/>
      <c r="H67" s="271">
        <v>160648.79999999999</v>
      </c>
      <c r="I67" s="271">
        <v>0</v>
      </c>
      <c r="J67" s="271">
        <v>182.4</v>
      </c>
      <c r="K67" s="271">
        <v>0</v>
      </c>
      <c r="L67" s="271">
        <v>132.60000000000002</v>
      </c>
      <c r="M67" s="271">
        <v>0</v>
      </c>
      <c r="N67" s="271">
        <v>0</v>
      </c>
      <c r="O67" s="271">
        <f t="shared" si="0"/>
        <v>160963.79999999999</v>
      </c>
      <c r="P67" s="37"/>
      <c r="Q67" s="271">
        <v>138391.5</v>
      </c>
      <c r="R67" s="271">
        <v>0</v>
      </c>
      <c r="S67" s="271">
        <v>410.67321428571427</v>
      </c>
      <c r="T67" s="271">
        <v>0</v>
      </c>
      <c r="U67" s="271">
        <v>120.9</v>
      </c>
      <c r="V67" s="271">
        <v>0</v>
      </c>
      <c r="W67" s="271"/>
      <c r="X67" s="271">
        <f t="shared" si="1"/>
        <v>138923.07321428572</v>
      </c>
      <c r="Z67" s="63"/>
      <c r="AA67" s="289"/>
    </row>
    <row r="68" spans="1:27">
      <c r="A68" s="231">
        <v>4063</v>
      </c>
      <c r="B68" s="4">
        <v>103486</v>
      </c>
      <c r="C68" s="4" t="s">
        <v>687</v>
      </c>
      <c r="D68" s="4" t="s">
        <v>688</v>
      </c>
      <c r="E68" s="213" t="s">
        <v>6</v>
      </c>
      <c r="F68" s="248" t="s">
        <v>229</v>
      </c>
      <c r="G68" s="37"/>
      <c r="H68" s="271">
        <v>0</v>
      </c>
      <c r="I68" s="271">
        <v>0</v>
      </c>
      <c r="J68" s="271">
        <v>0</v>
      </c>
      <c r="K68" s="271">
        <v>0</v>
      </c>
      <c r="L68" s="271">
        <v>0</v>
      </c>
      <c r="M68" s="271">
        <v>0</v>
      </c>
      <c r="N68" s="271">
        <v>0</v>
      </c>
      <c r="O68" s="271">
        <f t="shared" si="0"/>
        <v>0</v>
      </c>
      <c r="P68" s="37"/>
      <c r="Q68" s="271">
        <v>0</v>
      </c>
      <c r="R68" s="271">
        <v>0</v>
      </c>
      <c r="S68" s="271">
        <v>0</v>
      </c>
      <c r="T68" s="271">
        <v>0</v>
      </c>
      <c r="U68" s="271">
        <v>0</v>
      </c>
      <c r="V68" s="271">
        <v>0</v>
      </c>
      <c r="W68" s="271"/>
      <c r="X68" s="271">
        <f t="shared" si="1"/>
        <v>0</v>
      </c>
      <c r="Z68" s="63"/>
      <c r="AA68" s="289"/>
    </row>
    <row r="69" spans="1:27">
      <c r="A69" s="231">
        <v>3375</v>
      </c>
      <c r="B69" s="4">
        <v>103462</v>
      </c>
      <c r="C69" s="4" t="s">
        <v>783</v>
      </c>
      <c r="D69" s="4" t="s">
        <v>784</v>
      </c>
      <c r="E69" s="213" t="s">
        <v>5</v>
      </c>
      <c r="F69" s="248" t="s">
        <v>229</v>
      </c>
      <c r="G69" s="37"/>
      <c r="H69" s="271">
        <v>0</v>
      </c>
      <c r="I69" s="271">
        <v>0</v>
      </c>
      <c r="J69" s="271">
        <v>0</v>
      </c>
      <c r="K69" s="271">
        <v>0</v>
      </c>
      <c r="L69" s="271">
        <v>0</v>
      </c>
      <c r="M69" s="271">
        <v>0</v>
      </c>
      <c r="N69" s="271">
        <v>0</v>
      </c>
      <c r="O69" s="271">
        <f t="shared" si="0"/>
        <v>0</v>
      </c>
      <c r="P69" s="37"/>
      <c r="Q69" s="271">
        <v>0</v>
      </c>
      <c r="R69" s="271">
        <v>0</v>
      </c>
      <c r="S69" s="271">
        <v>0</v>
      </c>
      <c r="T69" s="271">
        <v>0</v>
      </c>
      <c r="U69" s="271">
        <v>0</v>
      </c>
      <c r="V69" s="271">
        <v>0</v>
      </c>
      <c r="W69" s="271"/>
      <c r="X69" s="271">
        <f t="shared" si="1"/>
        <v>0</v>
      </c>
      <c r="Z69" s="63"/>
      <c r="AA69" s="289"/>
    </row>
    <row r="70" spans="1:27">
      <c r="A70" s="231">
        <v>2010</v>
      </c>
      <c r="B70" s="4">
        <v>103159</v>
      </c>
      <c r="C70" s="4" t="s">
        <v>228</v>
      </c>
      <c r="D70" s="4" t="s">
        <v>230</v>
      </c>
      <c r="E70" s="213" t="s">
        <v>5</v>
      </c>
      <c r="F70" s="248" t="s">
        <v>229</v>
      </c>
      <c r="G70" s="37"/>
      <c r="H70" s="271">
        <v>0</v>
      </c>
      <c r="I70" s="271">
        <v>0</v>
      </c>
      <c r="J70" s="271">
        <v>0</v>
      </c>
      <c r="K70" s="271">
        <v>0</v>
      </c>
      <c r="L70" s="271">
        <v>0</v>
      </c>
      <c r="M70" s="271">
        <v>0</v>
      </c>
      <c r="N70" s="271">
        <v>0</v>
      </c>
      <c r="O70" s="271">
        <f t="shared" si="0"/>
        <v>0</v>
      </c>
      <c r="P70" s="37"/>
      <c r="Q70" s="271">
        <v>0</v>
      </c>
      <c r="R70" s="271">
        <v>0</v>
      </c>
      <c r="S70" s="271">
        <v>0</v>
      </c>
      <c r="T70" s="271">
        <v>0</v>
      </c>
      <c r="U70" s="271">
        <v>0</v>
      </c>
      <c r="V70" s="271">
        <v>0</v>
      </c>
      <c r="W70" s="271"/>
      <c r="X70" s="271">
        <f t="shared" si="1"/>
        <v>0</v>
      </c>
      <c r="Z70" s="63"/>
      <c r="AA70" s="289"/>
    </row>
    <row r="71" spans="1:27" s="218" customFormat="1" ht="15" thickBot="1">
      <c r="A71" s="233"/>
      <c r="B71" s="214"/>
      <c r="C71" s="214"/>
      <c r="D71" s="226" t="s">
        <v>1096</v>
      </c>
      <c r="E71" s="215"/>
      <c r="F71" s="249"/>
      <c r="G71" s="216"/>
      <c r="H71" s="274">
        <f t="shared" ref="H71:O71" si="2">SUM(H8:H70)</f>
        <v>3604831.16</v>
      </c>
      <c r="I71" s="274">
        <f t="shared" si="2"/>
        <v>313711.2</v>
      </c>
      <c r="J71" s="274">
        <f t="shared" si="2"/>
        <v>91539.72</v>
      </c>
      <c r="K71" s="274">
        <f t="shared" si="2"/>
        <v>30520</v>
      </c>
      <c r="L71" s="274">
        <f t="shared" si="2"/>
        <v>95023.2</v>
      </c>
      <c r="M71" s="274">
        <f t="shared" si="2"/>
        <v>518243.56333333335</v>
      </c>
      <c r="N71" s="274">
        <f t="shared" si="2"/>
        <v>16380</v>
      </c>
      <c r="O71" s="274">
        <f t="shared" si="2"/>
        <v>4670248.8433333337</v>
      </c>
      <c r="P71" s="216"/>
      <c r="Q71" s="274">
        <f t="shared" ref="Q71:X71" si="3">SUM(Q8:Q70)</f>
        <v>3214828.2</v>
      </c>
      <c r="R71" s="274">
        <f t="shared" si="3"/>
        <v>224759.84999999998</v>
      </c>
      <c r="S71" s="274">
        <f t="shared" si="3"/>
        <v>160674.08457821701</v>
      </c>
      <c r="T71" s="274">
        <f t="shared" si="3"/>
        <v>91015</v>
      </c>
      <c r="U71" s="274">
        <f t="shared" si="3"/>
        <v>67917.899999999994</v>
      </c>
      <c r="V71" s="274">
        <f t="shared" si="3"/>
        <v>479670.47536320251</v>
      </c>
      <c r="W71" s="274">
        <f t="shared" si="3"/>
        <v>0</v>
      </c>
      <c r="X71" s="274">
        <f t="shared" si="3"/>
        <v>4238865.5099414187</v>
      </c>
      <c r="Z71" s="63"/>
      <c r="AA71" s="289"/>
    </row>
    <row r="72" spans="1:27" ht="15" thickTop="1">
      <c r="A72" s="231"/>
      <c r="B72" s="4"/>
      <c r="C72" s="4"/>
      <c r="D72" s="4"/>
      <c r="E72" s="213"/>
      <c r="F72" s="248"/>
      <c r="G72" s="37"/>
      <c r="H72" s="271"/>
      <c r="I72" s="271"/>
      <c r="J72" s="271"/>
      <c r="K72" s="271"/>
      <c r="L72" s="271"/>
      <c r="M72" s="271"/>
      <c r="N72" s="271"/>
      <c r="O72" s="271"/>
      <c r="P72" s="37"/>
      <c r="Q72" s="271"/>
      <c r="R72" s="271"/>
      <c r="S72" s="271"/>
      <c r="T72" s="271"/>
      <c r="U72" s="271"/>
      <c r="V72" s="271"/>
      <c r="W72" s="271"/>
      <c r="X72" s="271"/>
      <c r="Z72" s="63"/>
      <c r="AA72" s="289"/>
    </row>
    <row r="73" spans="1:27">
      <c r="A73" s="231">
        <v>1021</v>
      </c>
      <c r="B73" s="4">
        <v>103134</v>
      </c>
      <c r="C73" s="4" t="s">
        <v>670</v>
      </c>
      <c r="D73" s="4" t="s">
        <v>671</v>
      </c>
      <c r="E73" s="213" t="s">
        <v>180</v>
      </c>
      <c r="F73" s="248" t="s">
        <v>411</v>
      </c>
      <c r="G73" s="37"/>
      <c r="H73" s="273">
        <v>169917.00000000003</v>
      </c>
      <c r="I73" s="271">
        <v>49572.000000000007</v>
      </c>
      <c r="J73" s="273">
        <v>4383.3</v>
      </c>
      <c r="K73" s="271">
        <v>3924</v>
      </c>
      <c r="L73" s="271">
        <v>6630</v>
      </c>
      <c r="M73" s="273">
        <v>147434.15666666668</v>
      </c>
      <c r="N73" s="273">
        <v>1820</v>
      </c>
      <c r="O73" s="273">
        <f>SUM(H73:N73)</f>
        <v>383680.45666666667</v>
      </c>
      <c r="P73" s="37"/>
      <c r="Q73" s="273">
        <v>118087.5</v>
      </c>
      <c r="R73" s="271">
        <v>53858.7</v>
      </c>
      <c r="S73" s="273">
        <v>2812.216981132075</v>
      </c>
      <c r="T73" s="271">
        <v>8175</v>
      </c>
      <c r="U73" s="271">
        <v>6007.8</v>
      </c>
      <c r="V73" s="273">
        <v>110795.59106574759</v>
      </c>
      <c r="W73" s="273"/>
      <c r="X73" s="273">
        <f>SUM(Q73:W73)</f>
        <v>299736.80804687965</v>
      </c>
      <c r="Z73" s="63"/>
      <c r="AA73" s="289"/>
    </row>
    <row r="74" spans="1:27">
      <c r="A74" s="231">
        <v>1027</v>
      </c>
      <c r="B74" s="4">
        <v>103140</v>
      </c>
      <c r="C74" s="4" t="s">
        <v>410</v>
      </c>
      <c r="D74" s="4" t="s">
        <v>412</v>
      </c>
      <c r="E74" s="213" t="s">
        <v>180</v>
      </c>
      <c r="F74" s="248" t="s">
        <v>411</v>
      </c>
      <c r="G74" s="37"/>
      <c r="H74" s="273">
        <v>349508.69999999995</v>
      </c>
      <c r="I74" s="271">
        <v>119707.19999999998</v>
      </c>
      <c r="J74" s="273">
        <v>10721.699999999999</v>
      </c>
      <c r="K74" s="271">
        <v>2180</v>
      </c>
      <c r="L74" s="271">
        <v>10434.600000000002</v>
      </c>
      <c r="M74" s="273">
        <v>331240.07666666672</v>
      </c>
      <c r="N74" s="273">
        <v>0</v>
      </c>
      <c r="O74" s="273">
        <f t="shared" ref="O74:O137" si="4">SUM(H74:N74)</f>
        <v>823792.27666666661</v>
      </c>
      <c r="P74" s="37"/>
      <c r="Q74" s="273">
        <v>285158.40000000002</v>
      </c>
      <c r="R74" s="271">
        <v>88282.949999999983</v>
      </c>
      <c r="S74" s="273">
        <v>13586.55</v>
      </c>
      <c r="T74" s="271">
        <v>13080</v>
      </c>
      <c r="U74" s="271">
        <v>9690.6</v>
      </c>
      <c r="V74" s="273">
        <v>184346.5630965005</v>
      </c>
      <c r="W74" s="273"/>
      <c r="X74" s="273">
        <f t="shared" ref="X74:X137" si="5">SUM(Q74:W74)</f>
        <v>594145.06309650047</v>
      </c>
      <c r="Z74" s="63"/>
      <c r="AA74" s="289"/>
    </row>
    <row r="75" spans="1:27">
      <c r="A75" s="231">
        <v>1802</v>
      </c>
      <c r="B75" s="4">
        <v>103150</v>
      </c>
      <c r="C75" s="4" t="s">
        <v>451</v>
      </c>
      <c r="D75" s="4" t="s">
        <v>452</v>
      </c>
      <c r="E75" s="213" t="s">
        <v>180</v>
      </c>
      <c r="F75" s="248" t="s">
        <v>411</v>
      </c>
      <c r="G75" s="37"/>
      <c r="H75" s="273">
        <v>222030.30000000002</v>
      </c>
      <c r="I75" s="271">
        <v>118605.59999999999</v>
      </c>
      <c r="J75" s="273">
        <v>10664.699999999999</v>
      </c>
      <c r="K75" s="271">
        <v>5668</v>
      </c>
      <c r="L75" s="271">
        <v>10546.800000000001</v>
      </c>
      <c r="M75" s="273">
        <v>162325.84000000003</v>
      </c>
      <c r="N75" s="273">
        <v>1820</v>
      </c>
      <c r="O75" s="273">
        <f t="shared" si="4"/>
        <v>531661.24</v>
      </c>
      <c r="P75" s="37"/>
      <c r="Q75" s="273">
        <v>191478</v>
      </c>
      <c r="R75" s="271">
        <v>114427.95</v>
      </c>
      <c r="S75" s="273">
        <v>14284.451612903224</v>
      </c>
      <c r="T75" s="271">
        <v>12535</v>
      </c>
      <c r="U75" s="271">
        <v>10927.5</v>
      </c>
      <c r="V75" s="273">
        <v>153754.56588016966</v>
      </c>
      <c r="W75" s="273"/>
      <c r="X75" s="273">
        <f t="shared" si="5"/>
        <v>497407.46749307285</v>
      </c>
      <c r="Z75" s="63"/>
      <c r="AA75" s="289"/>
    </row>
    <row r="76" spans="1:27">
      <c r="A76" s="231">
        <v>5949</v>
      </c>
      <c r="B76" s="4">
        <v>131465</v>
      </c>
      <c r="C76" s="4" t="s">
        <v>580</v>
      </c>
      <c r="D76" s="4" t="s">
        <v>581</v>
      </c>
      <c r="E76" s="213" t="s">
        <v>5</v>
      </c>
      <c r="F76" s="248" t="s">
        <v>411</v>
      </c>
      <c r="G76" s="37"/>
      <c r="H76" s="273">
        <v>0</v>
      </c>
      <c r="I76" s="271">
        <v>0</v>
      </c>
      <c r="J76" s="273">
        <v>0</v>
      </c>
      <c r="K76" s="271">
        <v>0</v>
      </c>
      <c r="L76" s="271">
        <v>0</v>
      </c>
      <c r="M76" s="273">
        <v>0</v>
      </c>
      <c r="N76" s="273">
        <v>0</v>
      </c>
      <c r="O76" s="273">
        <f t="shared" si="4"/>
        <v>0</v>
      </c>
      <c r="P76" s="37"/>
      <c r="Q76" s="273">
        <v>0</v>
      </c>
      <c r="R76" s="271">
        <v>0</v>
      </c>
      <c r="S76" s="273">
        <v>0</v>
      </c>
      <c r="T76" s="271">
        <v>0</v>
      </c>
      <c r="U76" s="271">
        <v>0</v>
      </c>
      <c r="V76" s="273">
        <v>0</v>
      </c>
      <c r="W76" s="273"/>
      <c r="X76" s="273">
        <f t="shared" si="5"/>
        <v>0</v>
      </c>
      <c r="Z76" s="63"/>
      <c r="AA76" s="289"/>
    </row>
    <row r="77" spans="1:27">
      <c r="A77" s="231">
        <v>2062</v>
      </c>
      <c r="B77" s="4">
        <v>103192</v>
      </c>
      <c r="C77" s="4" t="s">
        <v>583</v>
      </c>
      <c r="D77" s="4" t="s">
        <v>584</v>
      </c>
      <c r="E77" s="213" t="s">
        <v>5</v>
      </c>
      <c r="F77" s="248" t="s">
        <v>411</v>
      </c>
      <c r="G77" s="37"/>
      <c r="H77" s="273">
        <v>136584</v>
      </c>
      <c r="I77" s="271">
        <v>0</v>
      </c>
      <c r="J77" s="273">
        <v>4770.8999999999996</v>
      </c>
      <c r="K77" s="271">
        <v>0</v>
      </c>
      <c r="L77" s="271">
        <v>9159.6000000000022</v>
      </c>
      <c r="M77" s="273">
        <v>0</v>
      </c>
      <c r="N77" s="273">
        <v>0</v>
      </c>
      <c r="O77" s="273">
        <f t="shared" si="4"/>
        <v>150514.5</v>
      </c>
      <c r="P77" s="37"/>
      <c r="Q77" s="273">
        <v>145653</v>
      </c>
      <c r="R77" s="271">
        <v>2265.8999999999996</v>
      </c>
      <c r="S77" s="273">
        <v>5968.3371428571427</v>
      </c>
      <c r="T77" s="271">
        <v>0</v>
      </c>
      <c r="U77" s="271">
        <v>846.3</v>
      </c>
      <c r="V77" s="273">
        <v>0</v>
      </c>
      <c r="W77" s="273"/>
      <c r="X77" s="273">
        <f t="shared" si="5"/>
        <v>154733.53714285712</v>
      </c>
      <c r="Z77" s="63"/>
      <c r="AA77" s="289"/>
    </row>
    <row r="78" spans="1:27">
      <c r="A78" s="231">
        <v>2014</v>
      </c>
      <c r="B78" s="4">
        <v>103162</v>
      </c>
      <c r="C78" s="4" t="s">
        <v>586</v>
      </c>
      <c r="D78" s="4" t="s">
        <v>587</v>
      </c>
      <c r="E78" s="213" t="s">
        <v>5</v>
      </c>
      <c r="F78" s="248" t="s">
        <v>411</v>
      </c>
      <c r="G78" s="37"/>
      <c r="H78" s="273">
        <v>93007.199999999983</v>
      </c>
      <c r="I78" s="271">
        <v>0</v>
      </c>
      <c r="J78" s="273">
        <v>4434.5999999999995</v>
      </c>
      <c r="K78" s="271">
        <v>1744</v>
      </c>
      <c r="L78" s="271">
        <v>2743.8</v>
      </c>
      <c r="M78" s="273">
        <v>0</v>
      </c>
      <c r="N78" s="273">
        <v>0</v>
      </c>
      <c r="O78" s="273">
        <f t="shared" si="4"/>
        <v>101929.59999999999</v>
      </c>
      <c r="P78" s="37"/>
      <c r="Q78" s="273">
        <v>74730</v>
      </c>
      <c r="R78" s="271">
        <v>1045.8</v>
      </c>
      <c r="S78" s="273">
        <v>6987.5</v>
      </c>
      <c r="T78" s="271">
        <v>4360</v>
      </c>
      <c r="U78" s="271">
        <v>1934.4</v>
      </c>
      <c r="V78" s="273">
        <v>0</v>
      </c>
      <c r="W78" s="273"/>
      <c r="X78" s="273">
        <f t="shared" si="5"/>
        <v>89057.7</v>
      </c>
      <c r="Z78" s="63"/>
      <c r="AA78" s="289"/>
    </row>
    <row r="79" spans="1:27">
      <c r="A79" s="231">
        <v>7052</v>
      </c>
      <c r="B79" s="4">
        <v>103627</v>
      </c>
      <c r="C79" s="4" t="s">
        <v>589</v>
      </c>
      <c r="D79" s="4" t="s">
        <v>590</v>
      </c>
      <c r="E79" s="213" t="s">
        <v>1093</v>
      </c>
      <c r="F79" s="248" t="s">
        <v>411</v>
      </c>
      <c r="G79" s="37"/>
      <c r="H79" s="273">
        <v>2113.8000000000002</v>
      </c>
      <c r="I79" s="271">
        <v>0</v>
      </c>
      <c r="J79" s="273">
        <v>45.6</v>
      </c>
      <c r="K79" s="271">
        <v>0</v>
      </c>
      <c r="L79" s="271">
        <v>0</v>
      </c>
      <c r="M79" s="273">
        <v>0</v>
      </c>
      <c r="N79" s="273">
        <v>0</v>
      </c>
      <c r="O79" s="273">
        <f t="shared" si="4"/>
        <v>2159.4</v>
      </c>
      <c r="P79" s="37"/>
      <c r="Q79" s="273">
        <v>1833</v>
      </c>
      <c r="R79" s="271">
        <v>0</v>
      </c>
      <c r="S79" s="273">
        <v>0</v>
      </c>
      <c r="T79" s="271">
        <v>0</v>
      </c>
      <c r="U79" s="271">
        <v>0</v>
      </c>
      <c r="V79" s="273">
        <v>0</v>
      </c>
      <c r="W79" s="273"/>
      <c r="X79" s="273">
        <f t="shared" si="5"/>
        <v>1833</v>
      </c>
      <c r="Z79" s="63"/>
      <c r="AA79" s="289"/>
    </row>
    <row r="80" spans="1:27">
      <c r="A80" s="231">
        <v>2017</v>
      </c>
      <c r="B80" s="4">
        <v>103164</v>
      </c>
      <c r="C80" s="4" t="s">
        <v>592</v>
      </c>
      <c r="D80" s="4" t="s">
        <v>593</v>
      </c>
      <c r="E80" s="213" t="s">
        <v>5</v>
      </c>
      <c r="F80" s="248" t="s">
        <v>411</v>
      </c>
      <c r="G80" s="37"/>
      <c r="H80" s="273">
        <v>0</v>
      </c>
      <c r="I80" s="271">
        <v>0</v>
      </c>
      <c r="J80" s="273">
        <v>0</v>
      </c>
      <c r="K80" s="271">
        <v>0</v>
      </c>
      <c r="L80" s="271">
        <v>0</v>
      </c>
      <c r="M80" s="273">
        <v>0</v>
      </c>
      <c r="N80" s="273">
        <v>0</v>
      </c>
      <c r="O80" s="273">
        <f t="shared" si="4"/>
        <v>0</v>
      </c>
      <c r="P80" s="37"/>
      <c r="Q80" s="273">
        <v>0</v>
      </c>
      <c r="R80" s="271">
        <v>0</v>
      </c>
      <c r="S80" s="273">
        <v>0</v>
      </c>
      <c r="T80" s="271">
        <v>0</v>
      </c>
      <c r="U80" s="271">
        <v>0</v>
      </c>
      <c r="V80" s="273">
        <v>0</v>
      </c>
      <c r="W80" s="273"/>
      <c r="X80" s="273">
        <f t="shared" si="5"/>
        <v>0</v>
      </c>
      <c r="Z80" s="63"/>
      <c r="AA80" s="289"/>
    </row>
    <row r="81" spans="1:27">
      <c r="A81" s="231">
        <v>2016</v>
      </c>
      <c r="B81" s="4">
        <v>103163</v>
      </c>
      <c r="C81" s="4" t="s">
        <v>595</v>
      </c>
      <c r="D81" s="4" t="s">
        <v>596</v>
      </c>
      <c r="E81" s="213" t="s">
        <v>5</v>
      </c>
      <c r="F81" s="248" t="s">
        <v>411</v>
      </c>
      <c r="G81" s="37"/>
      <c r="H81" s="273">
        <v>0</v>
      </c>
      <c r="I81" s="271">
        <v>0</v>
      </c>
      <c r="J81" s="273">
        <v>0</v>
      </c>
      <c r="K81" s="271">
        <v>0</v>
      </c>
      <c r="L81" s="271">
        <v>0</v>
      </c>
      <c r="M81" s="273">
        <v>0</v>
      </c>
      <c r="N81" s="273">
        <v>0</v>
      </c>
      <c r="O81" s="273">
        <f t="shared" si="4"/>
        <v>0</v>
      </c>
      <c r="P81" s="37"/>
      <c r="Q81" s="273">
        <v>0</v>
      </c>
      <c r="R81" s="271">
        <v>0</v>
      </c>
      <c r="S81" s="273">
        <v>0</v>
      </c>
      <c r="T81" s="271">
        <v>0</v>
      </c>
      <c r="U81" s="271">
        <v>0</v>
      </c>
      <c r="V81" s="273">
        <v>0</v>
      </c>
      <c r="W81" s="273"/>
      <c r="X81" s="273">
        <f t="shared" si="5"/>
        <v>0</v>
      </c>
      <c r="Z81" s="63"/>
      <c r="AA81" s="289"/>
    </row>
    <row r="82" spans="1:27">
      <c r="A82" s="231">
        <v>2241</v>
      </c>
      <c r="B82" s="4">
        <v>103291</v>
      </c>
      <c r="C82" s="4" t="s">
        <v>598</v>
      </c>
      <c r="D82" s="4" t="s">
        <v>599</v>
      </c>
      <c r="E82" s="213" t="s">
        <v>5</v>
      </c>
      <c r="F82" s="248" t="s">
        <v>411</v>
      </c>
      <c r="G82" s="37"/>
      <c r="H82" s="273">
        <v>0</v>
      </c>
      <c r="I82" s="271">
        <v>0</v>
      </c>
      <c r="J82" s="273">
        <v>0</v>
      </c>
      <c r="K82" s="271">
        <v>0</v>
      </c>
      <c r="L82" s="271">
        <v>0</v>
      </c>
      <c r="M82" s="273">
        <v>0</v>
      </c>
      <c r="N82" s="273">
        <v>0</v>
      </c>
      <c r="O82" s="273">
        <f t="shared" si="4"/>
        <v>0</v>
      </c>
      <c r="P82" s="37"/>
      <c r="Q82" s="273">
        <v>0</v>
      </c>
      <c r="R82" s="271">
        <v>0</v>
      </c>
      <c r="S82" s="273">
        <v>0</v>
      </c>
      <c r="T82" s="271">
        <v>0</v>
      </c>
      <c r="U82" s="271">
        <v>0</v>
      </c>
      <c r="V82" s="273">
        <v>0</v>
      </c>
      <c r="W82" s="273"/>
      <c r="X82" s="273">
        <f t="shared" si="5"/>
        <v>0</v>
      </c>
      <c r="Z82" s="63"/>
      <c r="AA82" s="289"/>
    </row>
    <row r="83" spans="1:27">
      <c r="A83" s="231">
        <v>2456</v>
      </c>
      <c r="B83" s="4">
        <v>103383</v>
      </c>
      <c r="C83" s="4" t="s">
        <v>601</v>
      </c>
      <c r="D83" s="4" t="s">
        <v>602</v>
      </c>
      <c r="E83" s="213" t="s">
        <v>5</v>
      </c>
      <c r="F83" s="248" t="s">
        <v>411</v>
      </c>
      <c r="G83" s="37"/>
      <c r="H83" s="273">
        <v>0</v>
      </c>
      <c r="I83" s="271">
        <v>0</v>
      </c>
      <c r="J83" s="273">
        <v>0</v>
      </c>
      <c r="K83" s="271">
        <v>0</v>
      </c>
      <c r="L83" s="271">
        <v>0</v>
      </c>
      <c r="M83" s="273">
        <v>0</v>
      </c>
      <c r="N83" s="273">
        <v>0</v>
      </c>
      <c r="O83" s="273">
        <f t="shared" si="4"/>
        <v>0</v>
      </c>
      <c r="P83" s="37"/>
      <c r="Q83" s="273">
        <v>0</v>
      </c>
      <c r="R83" s="271">
        <v>0</v>
      </c>
      <c r="S83" s="273">
        <v>0</v>
      </c>
      <c r="T83" s="271">
        <v>0</v>
      </c>
      <c r="U83" s="271">
        <v>0</v>
      </c>
      <c r="V83" s="273">
        <v>0</v>
      </c>
      <c r="W83" s="273"/>
      <c r="X83" s="273">
        <f t="shared" si="5"/>
        <v>0</v>
      </c>
      <c r="Z83" s="63"/>
      <c r="AA83" s="289"/>
    </row>
    <row r="84" spans="1:27">
      <c r="A84" s="231">
        <v>2254</v>
      </c>
      <c r="B84" s="4">
        <v>103300</v>
      </c>
      <c r="C84" s="4" t="s">
        <v>604</v>
      </c>
      <c r="D84" s="4" t="s">
        <v>605</v>
      </c>
      <c r="E84" s="213" t="s">
        <v>5</v>
      </c>
      <c r="F84" s="248" t="s">
        <v>411</v>
      </c>
      <c r="G84" s="37"/>
      <c r="H84" s="273">
        <v>0</v>
      </c>
      <c r="I84" s="271">
        <v>0</v>
      </c>
      <c r="J84" s="273">
        <v>0</v>
      </c>
      <c r="K84" s="271">
        <v>0</v>
      </c>
      <c r="L84" s="271">
        <v>0</v>
      </c>
      <c r="M84" s="273">
        <v>0</v>
      </c>
      <c r="N84" s="273">
        <v>0</v>
      </c>
      <c r="O84" s="273">
        <f t="shared" si="4"/>
        <v>0</v>
      </c>
      <c r="P84" s="37"/>
      <c r="Q84" s="273">
        <v>0</v>
      </c>
      <c r="R84" s="271">
        <v>0</v>
      </c>
      <c r="S84" s="273">
        <v>0</v>
      </c>
      <c r="T84" s="271">
        <v>0</v>
      </c>
      <c r="U84" s="271">
        <v>0</v>
      </c>
      <c r="V84" s="273">
        <v>0</v>
      </c>
      <c r="W84" s="273"/>
      <c r="X84" s="273">
        <f t="shared" si="5"/>
        <v>0</v>
      </c>
      <c r="Z84" s="63"/>
      <c r="AA84" s="289"/>
    </row>
    <row r="85" spans="1:27">
      <c r="A85" s="231">
        <v>1025</v>
      </c>
      <c r="B85" s="4">
        <v>103138</v>
      </c>
      <c r="C85" s="4" t="s">
        <v>607</v>
      </c>
      <c r="D85" s="4" t="s">
        <v>608</v>
      </c>
      <c r="E85" s="213" t="s">
        <v>180</v>
      </c>
      <c r="F85" s="248" t="s">
        <v>411</v>
      </c>
      <c r="G85" s="37"/>
      <c r="H85" s="273">
        <v>236745.60000000003</v>
      </c>
      <c r="I85" s="271">
        <v>216892.79999999999</v>
      </c>
      <c r="J85" s="273">
        <v>17749.8</v>
      </c>
      <c r="K85" s="271">
        <v>7412</v>
      </c>
      <c r="L85" s="271">
        <v>16483.2</v>
      </c>
      <c r="M85" s="273">
        <v>295500.03666666668</v>
      </c>
      <c r="N85" s="273">
        <v>910</v>
      </c>
      <c r="O85" s="273">
        <f t="shared" si="4"/>
        <v>791693.43666666676</v>
      </c>
      <c r="P85" s="37"/>
      <c r="Q85" s="273">
        <v>212346</v>
      </c>
      <c r="R85" s="271">
        <v>131945.09999999998</v>
      </c>
      <c r="S85" s="273">
        <v>33167.474999999999</v>
      </c>
      <c r="T85" s="271">
        <v>18530</v>
      </c>
      <c r="U85" s="271">
        <v>15661.2</v>
      </c>
      <c r="V85" s="273">
        <v>178488.52107635204</v>
      </c>
      <c r="W85" s="273"/>
      <c r="X85" s="273">
        <f t="shared" si="5"/>
        <v>590138.29607635201</v>
      </c>
      <c r="Z85" s="63"/>
      <c r="AA85" s="289"/>
    </row>
    <row r="86" spans="1:27">
      <c r="A86" s="231">
        <v>3353</v>
      </c>
      <c r="B86" s="4">
        <v>103445</v>
      </c>
      <c r="C86" s="4" t="s">
        <v>610</v>
      </c>
      <c r="D86" s="4" t="s">
        <v>611</v>
      </c>
      <c r="E86" s="213" t="s">
        <v>5</v>
      </c>
      <c r="F86" s="248" t="s">
        <v>411</v>
      </c>
      <c r="G86" s="37"/>
      <c r="H86" s="273">
        <v>0</v>
      </c>
      <c r="I86" s="271">
        <v>0</v>
      </c>
      <c r="J86" s="273">
        <v>0</v>
      </c>
      <c r="K86" s="271">
        <v>0</v>
      </c>
      <c r="L86" s="271">
        <v>0</v>
      </c>
      <c r="M86" s="273">
        <v>0</v>
      </c>
      <c r="N86" s="273">
        <v>0</v>
      </c>
      <c r="O86" s="273">
        <f t="shared" si="4"/>
        <v>0</v>
      </c>
      <c r="P86" s="37"/>
      <c r="Q86" s="273">
        <v>0</v>
      </c>
      <c r="R86" s="271">
        <v>0</v>
      </c>
      <c r="S86" s="273">
        <v>0</v>
      </c>
      <c r="T86" s="271">
        <v>0</v>
      </c>
      <c r="U86" s="271">
        <v>0</v>
      </c>
      <c r="V86" s="273">
        <v>0</v>
      </c>
      <c r="W86" s="273"/>
      <c r="X86" s="273">
        <f t="shared" si="5"/>
        <v>0</v>
      </c>
      <c r="Z86" s="63"/>
      <c r="AA86" s="289"/>
    </row>
    <row r="87" spans="1:27">
      <c r="A87" s="231">
        <v>1002</v>
      </c>
      <c r="B87" s="4">
        <v>103121</v>
      </c>
      <c r="C87" s="4" t="s">
        <v>613</v>
      </c>
      <c r="D87" s="4" t="s">
        <v>614</v>
      </c>
      <c r="E87" s="213" t="s">
        <v>180</v>
      </c>
      <c r="F87" s="248" t="s">
        <v>411</v>
      </c>
      <c r="G87" s="37"/>
      <c r="H87" s="273">
        <v>281704.50000000006</v>
      </c>
      <c r="I87" s="271">
        <v>193759.2</v>
      </c>
      <c r="J87" s="273">
        <v>24994.5</v>
      </c>
      <c r="K87" s="271">
        <v>10028</v>
      </c>
      <c r="L87" s="271">
        <v>16809.599999999999</v>
      </c>
      <c r="M87" s="273">
        <v>318475.77666666667</v>
      </c>
      <c r="N87" s="273">
        <v>5460</v>
      </c>
      <c r="O87" s="273">
        <f t="shared" si="4"/>
        <v>851231.57666666666</v>
      </c>
      <c r="P87" s="37"/>
      <c r="Q87" s="273">
        <v>246115.5</v>
      </c>
      <c r="R87" s="271">
        <v>135012.78</v>
      </c>
      <c r="S87" s="273">
        <v>42324.970992366405</v>
      </c>
      <c r="T87" s="271">
        <v>27250</v>
      </c>
      <c r="U87" s="271">
        <v>18469.8</v>
      </c>
      <c r="V87" s="273">
        <v>197364.43425238595</v>
      </c>
      <c r="W87" s="273"/>
      <c r="X87" s="273">
        <f t="shared" si="5"/>
        <v>666537.48524475237</v>
      </c>
      <c r="Z87" s="63"/>
      <c r="AA87" s="289"/>
    </row>
    <row r="88" spans="1:27">
      <c r="A88" s="231">
        <v>1048</v>
      </c>
      <c r="B88" s="4">
        <v>103144</v>
      </c>
      <c r="C88" s="4" t="s">
        <v>616</v>
      </c>
      <c r="D88" s="4" t="s">
        <v>617</v>
      </c>
      <c r="E88" s="213" t="s">
        <v>180</v>
      </c>
      <c r="F88" s="248" t="s">
        <v>411</v>
      </c>
      <c r="G88" s="37"/>
      <c r="H88" s="273">
        <v>440320.79999999993</v>
      </c>
      <c r="I88" s="271">
        <v>195717.6</v>
      </c>
      <c r="J88" s="273">
        <v>23295.899999999998</v>
      </c>
      <c r="K88" s="271">
        <v>14170</v>
      </c>
      <c r="L88" s="271">
        <v>24296.400000000001</v>
      </c>
      <c r="M88" s="273">
        <v>325283.40333333332</v>
      </c>
      <c r="N88" s="273">
        <v>12740</v>
      </c>
      <c r="O88" s="273">
        <f t="shared" si="4"/>
        <v>1035824.1033333333</v>
      </c>
      <c r="P88" s="37"/>
      <c r="Q88" s="273">
        <v>344110.5</v>
      </c>
      <c r="R88" s="271">
        <v>164190.59999999998</v>
      </c>
      <c r="S88" s="273">
        <v>38306.172413793101</v>
      </c>
      <c r="T88" s="271">
        <v>28340</v>
      </c>
      <c r="U88" s="271">
        <v>18758.099999999999</v>
      </c>
      <c r="V88" s="273">
        <v>241299.74940349942</v>
      </c>
      <c r="W88" s="273"/>
      <c r="X88" s="273">
        <f t="shared" si="5"/>
        <v>835005.12181729241</v>
      </c>
      <c r="Z88" s="63"/>
      <c r="AA88" s="289"/>
    </row>
    <row r="89" spans="1:27">
      <c r="A89" s="231">
        <v>2289</v>
      </c>
      <c r="B89" s="4">
        <v>103315</v>
      </c>
      <c r="C89" s="4" t="s">
        <v>619</v>
      </c>
      <c r="D89" s="4" t="s">
        <v>620</v>
      </c>
      <c r="E89" s="213" t="s">
        <v>5</v>
      </c>
      <c r="F89" s="248" t="s">
        <v>411</v>
      </c>
      <c r="G89" s="37"/>
      <c r="H89" s="273">
        <v>0</v>
      </c>
      <c r="I89" s="271">
        <v>0</v>
      </c>
      <c r="J89" s="273">
        <v>0</v>
      </c>
      <c r="K89" s="271">
        <v>0</v>
      </c>
      <c r="L89" s="271">
        <v>0</v>
      </c>
      <c r="M89" s="273">
        <v>0</v>
      </c>
      <c r="N89" s="273">
        <v>0</v>
      </c>
      <c r="O89" s="273">
        <f t="shared" si="4"/>
        <v>0</v>
      </c>
      <c r="P89" s="37"/>
      <c r="Q89" s="273">
        <v>0</v>
      </c>
      <c r="R89" s="271">
        <v>0</v>
      </c>
      <c r="S89" s="273">
        <v>0</v>
      </c>
      <c r="T89" s="271">
        <v>0</v>
      </c>
      <c r="U89" s="271">
        <v>0</v>
      </c>
      <c r="V89" s="273">
        <v>0</v>
      </c>
      <c r="W89" s="273"/>
      <c r="X89" s="273">
        <f t="shared" si="5"/>
        <v>0</v>
      </c>
      <c r="Z89" s="63"/>
      <c r="AA89" s="289"/>
    </row>
    <row r="90" spans="1:27">
      <c r="A90" s="231">
        <v>3320</v>
      </c>
      <c r="B90" s="4">
        <v>103424</v>
      </c>
      <c r="C90" s="4" t="s">
        <v>622</v>
      </c>
      <c r="D90" s="4" t="s">
        <v>623</v>
      </c>
      <c r="E90" s="213" t="s">
        <v>5</v>
      </c>
      <c r="F90" s="248" t="s">
        <v>411</v>
      </c>
      <c r="G90" s="37"/>
      <c r="H90" s="273">
        <v>0</v>
      </c>
      <c r="I90" s="271">
        <v>0</v>
      </c>
      <c r="J90" s="273">
        <v>0</v>
      </c>
      <c r="K90" s="271">
        <v>0</v>
      </c>
      <c r="L90" s="271">
        <v>0</v>
      </c>
      <c r="M90" s="273">
        <v>0</v>
      </c>
      <c r="N90" s="273">
        <v>0</v>
      </c>
      <c r="O90" s="273">
        <f t="shared" si="4"/>
        <v>0</v>
      </c>
      <c r="P90" s="37"/>
      <c r="Q90" s="273">
        <v>0</v>
      </c>
      <c r="R90" s="271">
        <v>0</v>
      </c>
      <c r="S90" s="273">
        <v>0</v>
      </c>
      <c r="T90" s="271">
        <v>0</v>
      </c>
      <c r="U90" s="271">
        <v>0</v>
      </c>
      <c r="V90" s="273">
        <v>0</v>
      </c>
      <c r="W90" s="273"/>
      <c r="X90" s="273">
        <f t="shared" si="5"/>
        <v>0</v>
      </c>
      <c r="Z90" s="63"/>
      <c r="AA90" s="289"/>
    </row>
    <row r="91" spans="1:27">
      <c r="A91" s="231">
        <v>2191</v>
      </c>
      <c r="B91" s="4">
        <v>103267</v>
      </c>
      <c r="C91" s="4" t="s">
        <v>625</v>
      </c>
      <c r="D91" s="4" t="s">
        <v>626</v>
      </c>
      <c r="E91" s="213" t="s">
        <v>5</v>
      </c>
      <c r="F91" s="248" t="s">
        <v>411</v>
      </c>
      <c r="G91" s="37"/>
      <c r="H91" s="273">
        <v>71300.099999999991</v>
      </c>
      <c r="I91" s="271">
        <v>0</v>
      </c>
      <c r="J91" s="273">
        <v>2587.8000000000002</v>
      </c>
      <c r="K91" s="271">
        <v>0</v>
      </c>
      <c r="L91" s="271">
        <v>3396.6000000000004</v>
      </c>
      <c r="M91" s="273">
        <v>0</v>
      </c>
      <c r="N91" s="273">
        <v>0</v>
      </c>
      <c r="O91" s="273">
        <f t="shared" si="4"/>
        <v>77284.5</v>
      </c>
      <c r="P91" s="37"/>
      <c r="Q91" s="273">
        <v>62040</v>
      </c>
      <c r="R91" s="271">
        <v>0</v>
      </c>
      <c r="S91" s="273">
        <v>5515.41</v>
      </c>
      <c r="T91" s="271">
        <v>3270</v>
      </c>
      <c r="U91" s="271">
        <v>1450.8</v>
      </c>
      <c r="V91" s="273">
        <v>0</v>
      </c>
      <c r="W91" s="273"/>
      <c r="X91" s="273">
        <f t="shared" si="5"/>
        <v>72276.210000000006</v>
      </c>
      <c r="Z91" s="63"/>
      <c r="AA91" s="289"/>
    </row>
    <row r="92" spans="1:27">
      <c r="A92" s="231">
        <v>2284</v>
      </c>
      <c r="B92" s="4">
        <v>103313</v>
      </c>
      <c r="C92" s="4" t="s">
        <v>628</v>
      </c>
      <c r="D92" s="4" t="s">
        <v>629</v>
      </c>
      <c r="E92" s="213" t="s">
        <v>5</v>
      </c>
      <c r="F92" s="248" t="s">
        <v>411</v>
      </c>
      <c r="G92" s="37"/>
      <c r="H92" s="273">
        <v>0</v>
      </c>
      <c r="I92" s="271">
        <v>0</v>
      </c>
      <c r="J92" s="273">
        <v>0</v>
      </c>
      <c r="K92" s="271">
        <v>0</v>
      </c>
      <c r="L92" s="271">
        <v>0</v>
      </c>
      <c r="M92" s="273">
        <v>0</v>
      </c>
      <c r="N92" s="273">
        <v>0</v>
      </c>
      <c r="O92" s="273">
        <f t="shared" si="4"/>
        <v>0</v>
      </c>
      <c r="P92" s="37"/>
      <c r="Q92" s="273">
        <v>0</v>
      </c>
      <c r="R92" s="271">
        <v>0</v>
      </c>
      <c r="S92" s="273">
        <v>0</v>
      </c>
      <c r="T92" s="271">
        <v>0</v>
      </c>
      <c r="U92" s="271">
        <v>0</v>
      </c>
      <c r="V92" s="273">
        <v>0</v>
      </c>
      <c r="W92" s="273"/>
      <c r="X92" s="273">
        <f t="shared" si="5"/>
        <v>0</v>
      </c>
      <c r="Z92" s="63"/>
      <c r="AA92" s="289"/>
    </row>
    <row r="93" spans="1:27">
      <c r="A93" s="231">
        <v>1026</v>
      </c>
      <c r="B93" s="4">
        <v>103139</v>
      </c>
      <c r="C93" s="4" t="s">
        <v>631</v>
      </c>
      <c r="D93" s="4" t="s">
        <v>632</v>
      </c>
      <c r="E93" s="213" t="s">
        <v>180</v>
      </c>
      <c r="F93" s="248" t="s">
        <v>411</v>
      </c>
      <c r="G93" s="37"/>
      <c r="H93" s="273">
        <v>321134.99999999994</v>
      </c>
      <c r="I93" s="271">
        <v>125827.20000000001</v>
      </c>
      <c r="J93" s="273">
        <v>6184.4999999999991</v>
      </c>
      <c r="K93" s="271">
        <v>2398</v>
      </c>
      <c r="L93" s="271">
        <v>12301.2</v>
      </c>
      <c r="M93" s="273">
        <v>217212.33000000002</v>
      </c>
      <c r="N93" s="273">
        <v>6370</v>
      </c>
      <c r="O93" s="273">
        <f t="shared" si="4"/>
        <v>691428.23</v>
      </c>
      <c r="P93" s="37"/>
      <c r="Q93" s="273">
        <v>225882</v>
      </c>
      <c r="R93" s="271">
        <v>92466.15</v>
      </c>
      <c r="S93" s="273">
        <v>7427.42</v>
      </c>
      <c r="T93" s="271">
        <v>3270</v>
      </c>
      <c r="U93" s="271">
        <v>9560.4</v>
      </c>
      <c r="V93" s="273">
        <v>155056.35299575818</v>
      </c>
      <c r="W93" s="273"/>
      <c r="X93" s="273">
        <f t="shared" si="5"/>
        <v>493662.32299575821</v>
      </c>
      <c r="Z93" s="63"/>
      <c r="AA93" s="289"/>
    </row>
    <row r="94" spans="1:27">
      <c r="A94" s="231">
        <v>2294</v>
      </c>
      <c r="B94" s="4">
        <v>103318</v>
      </c>
      <c r="C94" s="4" t="s">
        <v>634</v>
      </c>
      <c r="D94" s="4" t="s">
        <v>635</v>
      </c>
      <c r="E94" s="213" t="s">
        <v>5</v>
      </c>
      <c r="F94" s="248" t="s">
        <v>411</v>
      </c>
      <c r="G94" s="37"/>
      <c r="H94" s="273">
        <v>0</v>
      </c>
      <c r="I94" s="271">
        <v>0</v>
      </c>
      <c r="J94" s="273">
        <v>0</v>
      </c>
      <c r="K94" s="271">
        <v>0</v>
      </c>
      <c r="L94" s="271">
        <v>0</v>
      </c>
      <c r="M94" s="273">
        <v>0</v>
      </c>
      <c r="N94" s="273">
        <v>0</v>
      </c>
      <c r="O94" s="273">
        <f t="shared" si="4"/>
        <v>0</v>
      </c>
      <c r="P94" s="37"/>
      <c r="Q94" s="273">
        <v>0</v>
      </c>
      <c r="R94" s="271">
        <v>0</v>
      </c>
      <c r="S94" s="273">
        <v>0</v>
      </c>
      <c r="T94" s="271">
        <v>0</v>
      </c>
      <c r="U94" s="271">
        <v>0</v>
      </c>
      <c r="V94" s="273">
        <v>0</v>
      </c>
      <c r="W94" s="273"/>
      <c r="X94" s="273">
        <f t="shared" si="5"/>
        <v>0</v>
      </c>
      <c r="Z94" s="63"/>
      <c r="AA94" s="289"/>
    </row>
    <row r="95" spans="1:27">
      <c r="A95" s="231">
        <v>1006</v>
      </c>
      <c r="B95" s="4">
        <v>103122</v>
      </c>
      <c r="C95" s="4" t="s">
        <v>637</v>
      </c>
      <c r="D95" s="4" t="s">
        <v>638</v>
      </c>
      <c r="E95" s="213" t="s">
        <v>180</v>
      </c>
      <c r="F95" s="248" t="s">
        <v>411</v>
      </c>
      <c r="G95" s="37"/>
      <c r="H95" s="273">
        <v>327557.7</v>
      </c>
      <c r="I95" s="271">
        <v>0</v>
      </c>
      <c r="J95" s="273">
        <v>5420.7</v>
      </c>
      <c r="K95" s="271">
        <v>218</v>
      </c>
      <c r="L95" s="271">
        <v>3631.2</v>
      </c>
      <c r="M95" s="273">
        <v>189130.87</v>
      </c>
      <c r="N95" s="273">
        <v>11830</v>
      </c>
      <c r="O95" s="273">
        <f t="shared" si="4"/>
        <v>537788.47</v>
      </c>
      <c r="P95" s="37"/>
      <c r="Q95" s="273">
        <v>274245</v>
      </c>
      <c r="R95" s="271">
        <v>0</v>
      </c>
      <c r="S95" s="273">
        <v>9494.2590361445782</v>
      </c>
      <c r="T95" s="271">
        <v>1635</v>
      </c>
      <c r="U95" s="271">
        <v>846.3</v>
      </c>
      <c r="V95" s="273">
        <v>173606.81939289498</v>
      </c>
      <c r="W95" s="273"/>
      <c r="X95" s="273">
        <f t="shared" si="5"/>
        <v>459827.37842903956</v>
      </c>
      <c r="Z95" s="63"/>
      <c r="AA95" s="289"/>
    </row>
    <row r="96" spans="1:27">
      <c r="A96" s="231">
        <v>2079</v>
      </c>
      <c r="B96" s="4">
        <v>103200</v>
      </c>
      <c r="C96" s="4" t="s">
        <v>640</v>
      </c>
      <c r="D96" s="4" t="s">
        <v>641</v>
      </c>
      <c r="E96" s="213" t="s">
        <v>5</v>
      </c>
      <c r="F96" s="248" t="s">
        <v>411</v>
      </c>
      <c r="G96" s="37"/>
      <c r="H96" s="273">
        <v>0</v>
      </c>
      <c r="I96" s="271">
        <v>0</v>
      </c>
      <c r="J96" s="273">
        <v>0</v>
      </c>
      <c r="K96" s="271">
        <v>0</v>
      </c>
      <c r="L96" s="271">
        <v>0</v>
      </c>
      <c r="M96" s="273">
        <v>0</v>
      </c>
      <c r="N96" s="273">
        <v>0</v>
      </c>
      <c r="O96" s="273">
        <f t="shared" si="4"/>
        <v>0</v>
      </c>
      <c r="P96" s="37"/>
      <c r="Q96" s="273">
        <v>0</v>
      </c>
      <c r="R96" s="271">
        <v>0</v>
      </c>
      <c r="S96" s="273">
        <v>0</v>
      </c>
      <c r="T96" s="271">
        <v>0</v>
      </c>
      <c r="U96" s="271">
        <v>0</v>
      </c>
      <c r="V96" s="273">
        <v>0</v>
      </c>
      <c r="W96" s="273"/>
      <c r="X96" s="273">
        <f t="shared" si="5"/>
        <v>0</v>
      </c>
      <c r="Z96" s="63"/>
      <c r="AA96" s="289"/>
    </row>
    <row r="97" spans="1:27">
      <c r="A97" s="231">
        <v>1015</v>
      </c>
      <c r="B97" s="4">
        <v>103128</v>
      </c>
      <c r="C97" s="4" t="s">
        <v>643</v>
      </c>
      <c r="D97" s="4" t="s">
        <v>644</v>
      </c>
      <c r="E97" s="213" t="s">
        <v>180</v>
      </c>
      <c r="F97" s="248" t="s">
        <v>411</v>
      </c>
      <c r="G97" s="37"/>
      <c r="H97" s="273">
        <v>371541</v>
      </c>
      <c r="I97" s="271">
        <v>75520.800000000003</v>
      </c>
      <c r="J97" s="273">
        <v>5072.9999999999991</v>
      </c>
      <c r="K97" s="271">
        <v>4142</v>
      </c>
      <c r="L97" s="271">
        <v>8639.4000000000015</v>
      </c>
      <c r="M97" s="273">
        <v>203597.07666666666</v>
      </c>
      <c r="N97" s="273">
        <v>10920</v>
      </c>
      <c r="O97" s="273">
        <f t="shared" si="4"/>
        <v>679433.27666666661</v>
      </c>
      <c r="P97" s="37"/>
      <c r="Q97" s="273">
        <v>307027.5</v>
      </c>
      <c r="R97" s="271">
        <v>41221.949999999997</v>
      </c>
      <c r="S97" s="273">
        <v>7368.1851063829781</v>
      </c>
      <c r="T97" s="271">
        <v>13625</v>
      </c>
      <c r="U97" s="271">
        <v>6314.7</v>
      </c>
      <c r="V97" s="273">
        <v>184021.11631760333</v>
      </c>
      <c r="W97" s="273"/>
      <c r="X97" s="273">
        <f t="shared" si="5"/>
        <v>559578.45142398635</v>
      </c>
      <c r="Z97" s="63"/>
      <c r="AA97" s="289"/>
    </row>
    <row r="98" spans="1:27">
      <c r="A98" s="231">
        <v>1022</v>
      </c>
      <c r="B98" s="4">
        <v>103135</v>
      </c>
      <c r="C98" s="4" t="s">
        <v>646</v>
      </c>
      <c r="D98" s="4" t="s">
        <v>647</v>
      </c>
      <c r="E98" s="213" t="s">
        <v>180</v>
      </c>
      <c r="F98" s="248" t="s">
        <v>411</v>
      </c>
      <c r="G98" s="37"/>
      <c r="H98" s="273">
        <v>244794.3</v>
      </c>
      <c r="I98" s="271">
        <v>77724</v>
      </c>
      <c r="J98" s="273">
        <v>9576</v>
      </c>
      <c r="K98" s="271">
        <v>218</v>
      </c>
      <c r="L98" s="271">
        <v>8945.4000000000015</v>
      </c>
      <c r="M98" s="273">
        <v>184025.15</v>
      </c>
      <c r="N98" s="273">
        <v>18200</v>
      </c>
      <c r="O98" s="273">
        <f t="shared" si="4"/>
        <v>543482.85</v>
      </c>
      <c r="P98" s="37"/>
      <c r="Q98" s="273">
        <v>191407.5</v>
      </c>
      <c r="R98" s="271">
        <v>82531.049999999988</v>
      </c>
      <c r="S98" s="273">
        <v>10167.164999999999</v>
      </c>
      <c r="T98" s="271">
        <v>10355</v>
      </c>
      <c r="U98" s="271">
        <v>8388.6</v>
      </c>
      <c r="V98" s="273">
        <v>147245.6303022269</v>
      </c>
      <c r="W98" s="273"/>
      <c r="X98" s="273">
        <f t="shared" si="5"/>
        <v>450094.94530222681</v>
      </c>
      <c r="Z98" s="63"/>
      <c r="AA98" s="289"/>
    </row>
    <row r="99" spans="1:27">
      <c r="A99" s="231">
        <v>2087</v>
      </c>
      <c r="B99" s="4">
        <v>103205</v>
      </c>
      <c r="C99" s="4" t="s">
        <v>649</v>
      </c>
      <c r="D99" s="4" t="s">
        <v>650</v>
      </c>
      <c r="E99" s="213" t="s">
        <v>5</v>
      </c>
      <c r="F99" s="248" t="s">
        <v>411</v>
      </c>
      <c r="G99" s="37"/>
      <c r="H99" s="273">
        <v>0</v>
      </c>
      <c r="I99" s="271">
        <v>0</v>
      </c>
      <c r="J99" s="273">
        <v>0</v>
      </c>
      <c r="K99" s="271">
        <v>0</v>
      </c>
      <c r="L99" s="271">
        <v>0</v>
      </c>
      <c r="M99" s="273">
        <v>0</v>
      </c>
      <c r="N99" s="273">
        <v>0</v>
      </c>
      <c r="O99" s="273">
        <f t="shared" si="4"/>
        <v>0</v>
      </c>
      <c r="P99" s="37"/>
      <c r="Q99" s="273">
        <v>0</v>
      </c>
      <c r="R99" s="271">
        <v>0</v>
      </c>
      <c r="S99" s="273">
        <v>0</v>
      </c>
      <c r="T99" s="271">
        <v>0</v>
      </c>
      <c r="U99" s="271">
        <v>0</v>
      </c>
      <c r="V99" s="273">
        <v>0</v>
      </c>
      <c r="W99" s="273"/>
      <c r="X99" s="273">
        <f t="shared" si="5"/>
        <v>0</v>
      </c>
      <c r="Z99" s="63"/>
      <c r="AA99" s="289"/>
    </row>
    <row r="100" spans="1:27">
      <c r="A100" s="231">
        <v>2466</v>
      </c>
      <c r="B100" s="4">
        <v>103392</v>
      </c>
      <c r="C100" s="4" t="s">
        <v>652</v>
      </c>
      <c r="D100" s="4" t="s">
        <v>653</v>
      </c>
      <c r="E100" s="213" t="s">
        <v>5</v>
      </c>
      <c r="F100" s="248" t="s">
        <v>411</v>
      </c>
      <c r="G100" s="37"/>
      <c r="H100" s="273">
        <v>188859.9</v>
      </c>
      <c r="I100" s="271">
        <v>0</v>
      </c>
      <c r="J100" s="273">
        <v>4896.3</v>
      </c>
      <c r="K100" s="271">
        <v>0</v>
      </c>
      <c r="L100" s="271">
        <v>6364.8</v>
      </c>
      <c r="M100" s="273">
        <v>0</v>
      </c>
      <c r="N100" s="273">
        <v>0</v>
      </c>
      <c r="O100" s="273">
        <f t="shared" si="4"/>
        <v>200120.99999999997</v>
      </c>
      <c r="P100" s="37"/>
      <c r="Q100" s="273">
        <v>194157</v>
      </c>
      <c r="R100" s="271">
        <v>0</v>
      </c>
      <c r="S100" s="273">
        <v>5223.7581818181816</v>
      </c>
      <c r="T100" s="271">
        <v>0</v>
      </c>
      <c r="U100" s="271">
        <v>4594.2</v>
      </c>
      <c r="V100" s="273">
        <v>0</v>
      </c>
      <c r="W100" s="273"/>
      <c r="X100" s="273">
        <f t="shared" si="5"/>
        <v>203974.95818181819</v>
      </c>
      <c r="Z100" s="63"/>
      <c r="AA100" s="289"/>
    </row>
    <row r="101" spans="1:27">
      <c r="A101" s="231">
        <v>2091</v>
      </c>
      <c r="B101" s="4">
        <v>103208</v>
      </c>
      <c r="C101" s="4" t="s">
        <v>655</v>
      </c>
      <c r="D101" s="4" t="s">
        <v>656</v>
      </c>
      <c r="E101" s="213" t="s">
        <v>5</v>
      </c>
      <c r="F101" s="248" t="s">
        <v>411</v>
      </c>
      <c r="G101" s="37"/>
      <c r="H101" s="273">
        <v>0</v>
      </c>
      <c r="I101" s="271">
        <v>0</v>
      </c>
      <c r="J101" s="273">
        <v>0</v>
      </c>
      <c r="K101" s="271">
        <v>0</v>
      </c>
      <c r="L101" s="271">
        <v>0</v>
      </c>
      <c r="M101" s="273">
        <v>0</v>
      </c>
      <c r="N101" s="273">
        <v>0</v>
      </c>
      <c r="O101" s="273">
        <f t="shared" si="4"/>
        <v>0</v>
      </c>
      <c r="P101" s="37"/>
      <c r="Q101" s="273">
        <v>0</v>
      </c>
      <c r="R101" s="271">
        <v>0</v>
      </c>
      <c r="S101" s="273">
        <v>0</v>
      </c>
      <c r="T101" s="271">
        <v>0</v>
      </c>
      <c r="U101" s="271">
        <v>0</v>
      </c>
      <c r="V101" s="273">
        <v>0</v>
      </c>
      <c r="W101" s="273"/>
      <c r="X101" s="273">
        <f t="shared" si="5"/>
        <v>0</v>
      </c>
      <c r="Z101" s="63"/>
      <c r="AA101" s="289"/>
    </row>
    <row r="102" spans="1:27">
      <c r="A102" s="231">
        <v>7006</v>
      </c>
      <c r="B102" s="4">
        <v>103600</v>
      </c>
      <c r="C102" s="4" t="s">
        <v>658</v>
      </c>
      <c r="D102" s="4" t="s">
        <v>659</v>
      </c>
      <c r="E102" s="213" t="s">
        <v>1093</v>
      </c>
      <c r="F102" s="248" t="s">
        <v>411</v>
      </c>
      <c r="G102" s="37"/>
      <c r="H102" s="273">
        <v>0</v>
      </c>
      <c r="I102" s="271">
        <v>0</v>
      </c>
      <c r="J102" s="273">
        <v>0</v>
      </c>
      <c r="K102" s="271">
        <v>0</v>
      </c>
      <c r="L102" s="271">
        <v>0</v>
      </c>
      <c r="M102" s="273">
        <v>0</v>
      </c>
      <c r="N102" s="273">
        <v>0</v>
      </c>
      <c r="O102" s="273">
        <f t="shared" si="4"/>
        <v>0</v>
      </c>
      <c r="P102" s="37"/>
      <c r="Q102" s="273">
        <v>0</v>
      </c>
      <c r="R102" s="271">
        <v>0</v>
      </c>
      <c r="S102" s="273">
        <v>0</v>
      </c>
      <c r="T102" s="271">
        <v>0</v>
      </c>
      <c r="U102" s="271">
        <v>0</v>
      </c>
      <c r="V102" s="273">
        <v>0</v>
      </c>
      <c r="W102" s="273"/>
      <c r="X102" s="273">
        <f t="shared" si="5"/>
        <v>0</v>
      </c>
      <c r="Z102" s="63"/>
      <c r="AA102" s="289"/>
    </row>
    <row r="103" spans="1:27">
      <c r="A103" s="231">
        <v>2477</v>
      </c>
      <c r="B103" s="4">
        <v>132261</v>
      </c>
      <c r="C103" s="4" t="s">
        <v>661</v>
      </c>
      <c r="D103" s="4" t="s">
        <v>662</v>
      </c>
      <c r="E103" s="213" t="s">
        <v>5</v>
      </c>
      <c r="F103" s="248" t="s">
        <v>411</v>
      </c>
      <c r="G103" s="37"/>
      <c r="H103" s="273">
        <v>0</v>
      </c>
      <c r="I103" s="271">
        <v>0</v>
      </c>
      <c r="J103" s="273">
        <v>0</v>
      </c>
      <c r="K103" s="271">
        <v>0</v>
      </c>
      <c r="L103" s="271">
        <v>0</v>
      </c>
      <c r="M103" s="273">
        <v>0</v>
      </c>
      <c r="N103" s="273">
        <v>0</v>
      </c>
      <c r="O103" s="273">
        <f t="shared" si="4"/>
        <v>0</v>
      </c>
      <c r="P103" s="37"/>
      <c r="Q103" s="273">
        <v>0</v>
      </c>
      <c r="R103" s="271">
        <v>0</v>
      </c>
      <c r="S103" s="273">
        <v>0</v>
      </c>
      <c r="T103" s="271">
        <v>0</v>
      </c>
      <c r="U103" s="271">
        <v>0</v>
      </c>
      <c r="V103" s="273">
        <v>0</v>
      </c>
      <c r="W103" s="273"/>
      <c r="X103" s="273">
        <f t="shared" si="5"/>
        <v>0</v>
      </c>
      <c r="Z103" s="63"/>
      <c r="AA103" s="289"/>
    </row>
    <row r="104" spans="1:27">
      <c r="A104" s="231">
        <v>3436</v>
      </c>
      <c r="B104" s="4">
        <v>136440</v>
      </c>
      <c r="C104" s="4" t="s">
        <v>664</v>
      </c>
      <c r="D104" s="4" t="s">
        <v>665</v>
      </c>
      <c r="E104" s="213" t="s">
        <v>5</v>
      </c>
      <c r="F104" s="248" t="s">
        <v>411</v>
      </c>
      <c r="G104" s="37"/>
      <c r="H104" s="273">
        <v>0</v>
      </c>
      <c r="I104" s="271">
        <v>0</v>
      </c>
      <c r="J104" s="273">
        <v>0</v>
      </c>
      <c r="K104" s="271">
        <v>0</v>
      </c>
      <c r="L104" s="271">
        <v>0</v>
      </c>
      <c r="M104" s="273">
        <v>0</v>
      </c>
      <c r="N104" s="273">
        <v>0</v>
      </c>
      <c r="O104" s="273">
        <f t="shared" si="4"/>
        <v>0</v>
      </c>
      <c r="P104" s="37"/>
      <c r="Q104" s="273">
        <v>0</v>
      </c>
      <c r="R104" s="271">
        <v>0</v>
      </c>
      <c r="S104" s="273">
        <v>0</v>
      </c>
      <c r="T104" s="271">
        <v>0</v>
      </c>
      <c r="U104" s="271">
        <v>0</v>
      </c>
      <c r="V104" s="273">
        <v>0</v>
      </c>
      <c r="W104" s="273"/>
      <c r="X104" s="273">
        <f t="shared" si="5"/>
        <v>0</v>
      </c>
      <c r="Z104" s="63"/>
      <c r="AA104" s="289"/>
    </row>
    <row r="105" spans="1:27">
      <c r="A105" s="231">
        <v>1010</v>
      </c>
      <c r="B105" s="4">
        <v>103125</v>
      </c>
      <c r="C105" s="4" t="s">
        <v>667</v>
      </c>
      <c r="D105" s="4" t="s">
        <v>668</v>
      </c>
      <c r="E105" s="213" t="s">
        <v>180</v>
      </c>
      <c r="F105" s="248" t="s">
        <v>411</v>
      </c>
      <c r="G105" s="37"/>
      <c r="H105" s="273">
        <v>382679.09999999992</v>
      </c>
      <c r="I105" s="271">
        <v>167320.80000000002</v>
      </c>
      <c r="J105" s="273">
        <v>9957.9</v>
      </c>
      <c r="K105" s="271">
        <v>5886</v>
      </c>
      <c r="L105" s="271">
        <v>10118.400000000001</v>
      </c>
      <c r="M105" s="273">
        <v>245719.26666666669</v>
      </c>
      <c r="N105" s="273">
        <v>14560</v>
      </c>
      <c r="O105" s="273">
        <f t="shared" si="4"/>
        <v>836241.46666666667</v>
      </c>
      <c r="P105" s="37"/>
      <c r="Q105" s="273">
        <v>350004.30000000005</v>
      </c>
      <c r="R105" s="271">
        <v>170726.84999999998</v>
      </c>
      <c r="S105" s="273">
        <v>10932.432075471697</v>
      </c>
      <c r="T105" s="271">
        <v>15260</v>
      </c>
      <c r="U105" s="271">
        <v>22440.9</v>
      </c>
      <c r="V105" s="273">
        <v>224376.51690084834</v>
      </c>
      <c r="W105" s="273"/>
      <c r="X105" s="273">
        <f t="shared" si="5"/>
        <v>793740.99897632014</v>
      </c>
      <c r="Z105" s="63"/>
      <c r="AA105" s="289"/>
    </row>
    <row r="106" spans="1:27">
      <c r="A106" s="231">
        <v>3411</v>
      </c>
      <c r="B106" s="4">
        <v>103479</v>
      </c>
      <c r="C106" s="4" t="s">
        <v>673</v>
      </c>
      <c r="D106" s="4" t="s">
        <v>674</v>
      </c>
      <c r="E106" s="213" t="s">
        <v>5</v>
      </c>
      <c r="F106" s="248" t="s">
        <v>411</v>
      </c>
      <c r="G106" s="37"/>
      <c r="H106" s="273">
        <v>76422</v>
      </c>
      <c r="I106" s="271">
        <v>0</v>
      </c>
      <c r="J106" s="273">
        <v>7677.9000000000005</v>
      </c>
      <c r="K106" s="271">
        <v>4796</v>
      </c>
      <c r="L106" s="271">
        <v>7425.6</v>
      </c>
      <c r="M106" s="273">
        <v>0</v>
      </c>
      <c r="N106" s="273">
        <v>0</v>
      </c>
      <c r="O106" s="273">
        <f t="shared" si="4"/>
        <v>96321.5</v>
      </c>
      <c r="P106" s="37"/>
      <c r="Q106" s="273">
        <v>64155</v>
      </c>
      <c r="R106" s="271">
        <v>0</v>
      </c>
      <c r="S106" s="273">
        <v>10680.268421052629</v>
      </c>
      <c r="T106" s="271">
        <v>9265</v>
      </c>
      <c r="U106" s="271">
        <v>3022.5</v>
      </c>
      <c r="V106" s="273">
        <v>0</v>
      </c>
      <c r="W106" s="273"/>
      <c r="X106" s="273">
        <f t="shared" si="5"/>
        <v>87122.768421052635</v>
      </c>
      <c r="Z106" s="63"/>
      <c r="AA106" s="289"/>
    </row>
    <row r="107" spans="1:27">
      <c r="A107" s="231">
        <v>2474</v>
      </c>
      <c r="B107" s="4">
        <v>131672</v>
      </c>
      <c r="C107" s="4" t="s">
        <v>676</v>
      </c>
      <c r="D107" s="4" t="s">
        <v>677</v>
      </c>
      <c r="E107" s="213" t="s">
        <v>5</v>
      </c>
      <c r="F107" s="248" t="s">
        <v>411</v>
      </c>
      <c r="G107" s="37"/>
      <c r="H107" s="273">
        <v>0</v>
      </c>
      <c r="I107" s="271">
        <v>0</v>
      </c>
      <c r="J107" s="273">
        <v>0</v>
      </c>
      <c r="K107" s="271">
        <v>0</v>
      </c>
      <c r="L107" s="271">
        <v>0</v>
      </c>
      <c r="M107" s="273">
        <v>0</v>
      </c>
      <c r="N107" s="273">
        <v>0</v>
      </c>
      <c r="O107" s="273">
        <f t="shared" si="4"/>
        <v>0</v>
      </c>
      <c r="P107" s="37"/>
      <c r="Q107" s="273">
        <v>0</v>
      </c>
      <c r="R107" s="271">
        <v>0</v>
      </c>
      <c r="S107" s="273">
        <v>0</v>
      </c>
      <c r="T107" s="271">
        <v>0</v>
      </c>
      <c r="U107" s="271">
        <v>0</v>
      </c>
      <c r="V107" s="273">
        <v>0</v>
      </c>
      <c r="W107" s="273"/>
      <c r="X107" s="273">
        <f t="shared" si="5"/>
        <v>0</v>
      </c>
      <c r="Z107" s="63"/>
      <c r="AA107" s="289"/>
    </row>
    <row r="108" spans="1:27">
      <c r="A108" s="231">
        <v>3317</v>
      </c>
      <c r="B108" s="4">
        <v>103421</v>
      </c>
      <c r="C108" s="4" t="s">
        <v>679</v>
      </c>
      <c r="D108" s="4" t="s">
        <v>161</v>
      </c>
      <c r="E108" s="213" t="s">
        <v>5</v>
      </c>
      <c r="F108" s="248" t="s">
        <v>411</v>
      </c>
      <c r="G108" s="37"/>
      <c r="H108" s="273">
        <v>75202.499999999985</v>
      </c>
      <c r="I108" s="271">
        <v>0</v>
      </c>
      <c r="J108" s="273">
        <v>940.5</v>
      </c>
      <c r="K108" s="271">
        <v>1526</v>
      </c>
      <c r="L108" s="271">
        <v>2845.8</v>
      </c>
      <c r="M108" s="273">
        <v>0</v>
      </c>
      <c r="N108" s="273">
        <v>0</v>
      </c>
      <c r="O108" s="273">
        <f t="shared" si="4"/>
        <v>80514.799999999988</v>
      </c>
      <c r="P108" s="37"/>
      <c r="Q108" s="273">
        <v>61194</v>
      </c>
      <c r="R108" s="271">
        <v>0</v>
      </c>
      <c r="S108" s="273">
        <v>808.92000000000007</v>
      </c>
      <c r="T108" s="271">
        <v>5450</v>
      </c>
      <c r="U108" s="271">
        <v>1329.9</v>
      </c>
      <c r="V108" s="273">
        <v>0</v>
      </c>
      <c r="W108" s="273"/>
      <c r="X108" s="273">
        <f t="shared" si="5"/>
        <v>68782.819999999992</v>
      </c>
      <c r="Z108" s="63"/>
      <c r="AA108" s="289"/>
    </row>
    <row r="109" spans="1:27">
      <c r="A109" s="231">
        <v>1023</v>
      </c>
      <c r="B109" s="4">
        <v>103136</v>
      </c>
      <c r="C109" s="4" t="s">
        <v>681</v>
      </c>
      <c r="D109" s="4" t="s">
        <v>682</v>
      </c>
      <c r="E109" s="213" t="s">
        <v>180</v>
      </c>
      <c r="F109" s="248" t="s">
        <v>411</v>
      </c>
      <c r="G109" s="37"/>
      <c r="H109" s="273">
        <v>201380.1</v>
      </c>
      <c r="I109" s="271">
        <v>95594.4</v>
      </c>
      <c r="J109" s="273">
        <v>5785.5</v>
      </c>
      <c r="K109" s="271">
        <v>1744</v>
      </c>
      <c r="L109" s="271">
        <v>6538.2000000000007</v>
      </c>
      <c r="M109" s="273">
        <v>227423.77000000002</v>
      </c>
      <c r="N109" s="273">
        <v>4550</v>
      </c>
      <c r="O109" s="273">
        <f t="shared" si="4"/>
        <v>543015.97</v>
      </c>
      <c r="P109" s="37"/>
      <c r="Q109" s="273">
        <v>202899</v>
      </c>
      <c r="R109" s="271">
        <v>84274.05</v>
      </c>
      <c r="S109" s="273">
        <v>8432.5609756097565</v>
      </c>
      <c r="T109" s="271">
        <v>11990</v>
      </c>
      <c r="U109" s="271">
        <v>7607.4</v>
      </c>
      <c r="V109" s="273">
        <v>153754.56588016966</v>
      </c>
      <c r="W109" s="273"/>
      <c r="X109" s="273">
        <f t="shared" si="5"/>
        <v>468957.57685577939</v>
      </c>
      <c r="Z109" s="63"/>
      <c r="AA109" s="289"/>
    </row>
    <row r="110" spans="1:27">
      <c r="A110" s="231">
        <v>3352</v>
      </c>
      <c r="B110" s="4">
        <v>103444</v>
      </c>
      <c r="C110" s="4" t="s">
        <v>684</v>
      </c>
      <c r="D110" s="4" t="s">
        <v>685</v>
      </c>
      <c r="E110" s="213" t="s">
        <v>5</v>
      </c>
      <c r="F110" s="248" t="s">
        <v>411</v>
      </c>
      <c r="G110" s="37"/>
      <c r="H110" s="273">
        <v>80487</v>
      </c>
      <c r="I110" s="271">
        <v>0</v>
      </c>
      <c r="J110" s="273">
        <v>393.29999999999995</v>
      </c>
      <c r="K110" s="271">
        <v>872</v>
      </c>
      <c r="L110" s="271">
        <v>530.40000000000009</v>
      </c>
      <c r="M110" s="273">
        <v>0</v>
      </c>
      <c r="N110" s="273">
        <v>0</v>
      </c>
      <c r="O110" s="273">
        <f t="shared" si="4"/>
        <v>82282.7</v>
      </c>
      <c r="P110" s="37"/>
      <c r="Q110" s="273">
        <v>69654</v>
      </c>
      <c r="R110" s="271">
        <v>0</v>
      </c>
      <c r="S110" s="273">
        <v>1304.25</v>
      </c>
      <c r="T110" s="271">
        <v>1090</v>
      </c>
      <c r="U110" s="271">
        <v>0</v>
      </c>
      <c r="V110" s="273">
        <v>0</v>
      </c>
      <c r="W110" s="273"/>
      <c r="X110" s="273">
        <f t="shared" si="5"/>
        <v>72048.25</v>
      </c>
      <c r="Z110" s="63"/>
      <c r="AA110" s="289"/>
    </row>
    <row r="111" spans="1:27">
      <c r="A111" s="231">
        <v>2005</v>
      </c>
      <c r="B111" s="4">
        <v>134098</v>
      </c>
      <c r="C111" s="4" t="s">
        <v>690</v>
      </c>
      <c r="D111" s="4" t="s">
        <v>691</v>
      </c>
      <c r="E111" s="213" t="s">
        <v>5</v>
      </c>
      <c r="F111" s="248" t="s">
        <v>411</v>
      </c>
      <c r="G111" s="37"/>
      <c r="H111" s="273">
        <v>89573.088000000018</v>
      </c>
      <c r="I111" s="271">
        <v>0</v>
      </c>
      <c r="J111" s="273">
        <v>604.20000000000005</v>
      </c>
      <c r="K111" s="271">
        <v>1308</v>
      </c>
      <c r="L111" s="271">
        <v>2570.4</v>
      </c>
      <c r="M111" s="273">
        <v>0</v>
      </c>
      <c r="N111" s="273">
        <v>0</v>
      </c>
      <c r="O111" s="273">
        <f t="shared" si="4"/>
        <v>94055.688000000009</v>
      </c>
      <c r="P111" s="37"/>
      <c r="Q111" s="273">
        <v>116395.5</v>
      </c>
      <c r="R111" s="271">
        <v>0</v>
      </c>
      <c r="S111" s="273">
        <v>1556.6526315789474</v>
      </c>
      <c r="T111" s="271">
        <v>1635</v>
      </c>
      <c r="U111" s="271">
        <v>967.2</v>
      </c>
      <c r="V111" s="273">
        <v>0</v>
      </c>
      <c r="W111" s="273"/>
      <c r="X111" s="273">
        <f t="shared" si="5"/>
        <v>120554.35263157895</v>
      </c>
      <c r="Z111" s="63"/>
      <c r="AA111" s="289"/>
    </row>
    <row r="112" spans="1:27">
      <c r="A112" s="231">
        <v>1016</v>
      </c>
      <c r="B112" s="4">
        <v>103129</v>
      </c>
      <c r="C112" s="4" t="s">
        <v>693</v>
      </c>
      <c r="D112" s="4" t="s">
        <v>694</v>
      </c>
      <c r="E112" s="213" t="s">
        <v>180</v>
      </c>
      <c r="F112" s="248" t="s">
        <v>411</v>
      </c>
      <c r="G112" s="37"/>
      <c r="H112" s="273">
        <v>315720.42</v>
      </c>
      <c r="I112" s="271">
        <v>73929.600000000006</v>
      </c>
      <c r="J112" s="273">
        <v>9084.66</v>
      </c>
      <c r="K112" s="271">
        <v>4578</v>
      </c>
      <c r="L112" s="271">
        <v>9679.8000000000011</v>
      </c>
      <c r="M112" s="273">
        <v>190832.77666666667</v>
      </c>
      <c r="N112" s="273">
        <v>3640</v>
      </c>
      <c r="O112" s="273">
        <f t="shared" si="4"/>
        <v>607465.2566666666</v>
      </c>
      <c r="P112" s="37"/>
      <c r="Q112" s="273">
        <v>254293.50000000003</v>
      </c>
      <c r="R112" s="271">
        <v>60569.25</v>
      </c>
      <c r="S112" s="273">
        <v>13516.665789473682</v>
      </c>
      <c r="T112" s="271">
        <v>8175</v>
      </c>
      <c r="U112" s="271">
        <v>6844.8</v>
      </c>
      <c r="V112" s="273">
        <v>168399.6709305408</v>
      </c>
      <c r="W112" s="273"/>
      <c r="X112" s="273">
        <f t="shared" si="5"/>
        <v>511798.8867200145</v>
      </c>
      <c r="Z112" s="63"/>
      <c r="AA112" s="289"/>
    </row>
    <row r="113" spans="1:27">
      <c r="A113" s="231">
        <v>2115</v>
      </c>
      <c r="B113" s="4">
        <v>103221</v>
      </c>
      <c r="C113" s="4" t="s">
        <v>696</v>
      </c>
      <c r="D113" s="4" t="s">
        <v>697</v>
      </c>
      <c r="E113" s="213" t="s">
        <v>5</v>
      </c>
      <c r="F113" s="248" t="s">
        <v>411</v>
      </c>
      <c r="G113" s="37"/>
      <c r="H113" s="273">
        <v>131136.89999999997</v>
      </c>
      <c r="I113" s="271">
        <v>0</v>
      </c>
      <c r="J113" s="273">
        <v>6321.2999999999993</v>
      </c>
      <c r="K113" s="271">
        <v>0</v>
      </c>
      <c r="L113" s="271">
        <v>3641.4000000000005</v>
      </c>
      <c r="M113" s="273">
        <v>0</v>
      </c>
      <c r="N113" s="273">
        <v>0</v>
      </c>
      <c r="O113" s="273">
        <f t="shared" si="4"/>
        <v>141099.59999999995</v>
      </c>
      <c r="P113" s="37"/>
      <c r="Q113" s="273">
        <v>130213.5</v>
      </c>
      <c r="R113" s="271">
        <v>1132.9499999999998</v>
      </c>
      <c r="S113" s="273">
        <v>6754.3666666666668</v>
      </c>
      <c r="T113" s="271">
        <v>0</v>
      </c>
      <c r="U113" s="271">
        <v>2418</v>
      </c>
      <c r="V113" s="273">
        <v>0</v>
      </c>
      <c r="W113" s="273"/>
      <c r="X113" s="273">
        <f t="shared" si="5"/>
        <v>140518.81666666668</v>
      </c>
      <c r="Z113" s="63"/>
      <c r="AA113" s="289"/>
    </row>
    <row r="114" spans="1:27">
      <c r="A114" s="231">
        <v>2441</v>
      </c>
      <c r="B114" s="4">
        <v>103368</v>
      </c>
      <c r="C114" s="4" t="s">
        <v>699</v>
      </c>
      <c r="D114" s="4" t="s">
        <v>700</v>
      </c>
      <c r="E114" s="213" t="s">
        <v>5</v>
      </c>
      <c r="F114" s="248" t="s">
        <v>411</v>
      </c>
      <c r="G114" s="37"/>
      <c r="H114" s="273">
        <v>65365.2</v>
      </c>
      <c r="I114" s="271">
        <v>0</v>
      </c>
      <c r="J114" s="273">
        <v>3323.1</v>
      </c>
      <c r="K114" s="271">
        <v>1526</v>
      </c>
      <c r="L114" s="271">
        <v>3825.0000000000005</v>
      </c>
      <c r="M114" s="273">
        <v>0</v>
      </c>
      <c r="N114" s="273">
        <v>0</v>
      </c>
      <c r="O114" s="273">
        <f t="shared" si="4"/>
        <v>74039.3</v>
      </c>
      <c r="P114" s="37"/>
      <c r="Q114" s="273">
        <v>60207</v>
      </c>
      <c r="R114" s="271">
        <v>0</v>
      </c>
      <c r="S114" s="273">
        <v>7661.4937499999996</v>
      </c>
      <c r="T114" s="271">
        <v>0</v>
      </c>
      <c r="U114" s="271">
        <v>1450.8</v>
      </c>
      <c r="V114" s="273">
        <v>0</v>
      </c>
      <c r="W114" s="273"/>
      <c r="X114" s="273">
        <f t="shared" si="5"/>
        <v>69319.293749999997</v>
      </c>
      <c r="Z114" s="63"/>
      <c r="AA114" s="289"/>
    </row>
    <row r="115" spans="1:27">
      <c r="A115" s="231">
        <v>2321</v>
      </c>
      <c r="B115" s="4">
        <v>103339</v>
      </c>
      <c r="C115" s="4" t="s">
        <v>702</v>
      </c>
      <c r="D115" s="4" t="s">
        <v>863</v>
      </c>
      <c r="E115" s="213" t="s">
        <v>5</v>
      </c>
      <c r="F115" s="248" t="s">
        <v>411</v>
      </c>
      <c r="G115" s="37"/>
      <c r="H115" s="273">
        <v>0</v>
      </c>
      <c r="I115" s="271">
        <v>0</v>
      </c>
      <c r="J115" s="273">
        <v>0</v>
      </c>
      <c r="K115" s="271">
        <v>0</v>
      </c>
      <c r="L115" s="271">
        <v>0</v>
      </c>
      <c r="M115" s="273">
        <v>0</v>
      </c>
      <c r="N115" s="273">
        <v>0</v>
      </c>
      <c r="O115" s="273">
        <f t="shared" si="4"/>
        <v>0</v>
      </c>
      <c r="P115" s="37"/>
      <c r="Q115" s="273">
        <v>0</v>
      </c>
      <c r="R115" s="271">
        <v>0</v>
      </c>
      <c r="S115" s="273">
        <v>0</v>
      </c>
      <c r="T115" s="271">
        <v>0</v>
      </c>
      <c r="U115" s="271">
        <v>0</v>
      </c>
      <c r="V115" s="273">
        <v>0</v>
      </c>
      <c r="W115" s="273"/>
      <c r="X115" s="273">
        <f t="shared" si="5"/>
        <v>0</v>
      </c>
      <c r="Z115" s="63"/>
      <c r="AA115" s="289"/>
    </row>
    <row r="116" spans="1:27">
      <c r="A116" s="231">
        <v>1024</v>
      </c>
      <c r="B116" s="4">
        <v>103137</v>
      </c>
      <c r="C116" s="4" t="s">
        <v>705</v>
      </c>
      <c r="D116" s="4" t="s">
        <v>706</v>
      </c>
      <c r="E116" s="213" t="s">
        <v>180</v>
      </c>
      <c r="F116" s="248" t="s">
        <v>411</v>
      </c>
      <c r="G116" s="37"/>
      <c r="H116" s="273">
        <v>223818.9</v>
      </c>
      <c r="I116" s="271">
        <v>134395.20000000001</v>
      </c>
      <c r="J116" s="273">
        <v>11320.2</v>
      </c>
      <c r="K116" s="271">
        <v>7848</v>
      </c>
      <c r="L116" s="271">
        <v>13800.6</v>
      </c>
      <c r="M116" s="273">
        <v>241464.5</v>
      </c>
      <c r="N116" s="273">
        <v>0</v>
      </c>
      <c r="O116" s="273">
        <f t="shared" si="4"/>
        <v>632647.39999999991</v>
      </c>
      <c r="P116" s="37"/>
      <c r="Q116" s="273">
        <v>194340.30000000002</v>
      </c>
      <c r="R116" s="271">
        <v>124206.18</v>
      </c>
      <c r="S116" s="273">
        <v>21893.748979591837</v>
      </c>
      <c r="T116" s="271">
        <v>18530</v>
      </c>
      <c r="U116" s="271">
        <v>15930.900000000001</v>
      </c>
      <c r="V116" s="273">
        <v>164168.86280487804</v>
      </c>
      <c r="W116" s="273"/>
      <c r="X116" s="273">
        <f t="shared" si="5"/>
        <v>539069.99178446992</v>
      </c>
      <c r="Z116" s="63"/>
      <c r="AA116" s="289"/>
    </row>
    <row r="117" spans="1:27">
      <c r="A117" s="231">
        <v>7062</v>
      </c>
      <c r="B117" s="4">
        <v>103632</v>
      </c>
      <c r="C117" s="4" t="s">
        <v>708</v>
      </c>
      <c r="D117" s="4" t="s">
        <v>709</v>
      </c>
      <c r="E117" s="213" t="s">
        <v>1093</v>
      </c>
      <c r="F117" s="248" t="s">
        <v>411</v>
      </c>
      <c r="G117" s="37"/>
      <c r="H117" s="273">
        <v>0</v>
      </c>
      <c r="I117" s="271">
        <v>0</v>
      </c>
      <c r="J117" s="273">
        <v>0</v>
      </c>
      <c r="K117" s="271">
        <v>0</v>
      </c>
      <c r="L117" s="271">
        <v>0</v>
      </c>
      <c r="M117" s="273">
        <v>0</v>
      </c>
      <c r="N117" s="273">
        <v>0</v>
      </c>
      <c r="O117" s="273">
        <f t="shared" si="4"/>
        <v>0</v>
      </c>
      <c r="P117" s="37"/>
      <c r="Q117" s="273">
        <v>0</v>
      </c>
      <c r="R117" s="271">
        <v>0</v>
      </c>
      <c r="S117" s="273">
        <v>0</v>
      </c>
      <c r="T117" s="271">
        <v>0</v>
      </c>
      <c r="U117" s="271">
        <v>0</v>
      </c>
      <c r="V117" s="273">
        <v>0</v>
      </c>
      <c r="W117" s="273"/>
      <c r="X117" s="273">
        <f t="shared" si="5"/>
        <v>0</v>
      </c>
      <c r="Z117" s="63"/>
      <c r="AA117" s="289"/>
    </row>
    <row r="118" spans="1:27">
      <c r="A118" s="231">
        <v>2004</v>
      </c>
      <c r="B118" s="4">
        <v>134094</v>
      </c>
      <c r="C118" s="4" t="s">
        <v>711</v>
      </c>
      <c r="D118" s="4" t="s">
        <v>712</v>
      </c>
      <c r="E118" s="213" t="s">
        <v>5</v>
      </c>
      <c r="F118" s="248" t="s">
        <v>411</v>
      </c>
      <c r="G118" s="37"/>
      <c r="H118" s="273">
        <v>65365.2</v>
      </c>
      <c r="I118" s="271">
        <v>0</v>
      </c>
      <c r="J118" s="273">
        <v>1077.3</v>
      </c>
      <c r="K118" s="271">
        <v>0</v>
      </c>
      <c r="L118" s="271">
        <v>1958.4</v>
      </c>
      <c r="M118" s="273">
        <v>0</v>
      </c>
      <c r="N118" s="273">
        <v>0</v>
      </c>
      <c r="O118" s="273">
        <f t="shared" si="4"/>
        <v>68400.899999999994</v>
      </c>
      <c r="P118" s="37"/>
      <c r="Q118" s="273">
        <v>47799</v>
      </c>
      <c r="R118" s="271">
        <v>0</v>
      </c>
      <c r="S118" s="273">
        <v>1695.4666666666667</v>
      </c>
      <c r="T118" s="271">
        <v>0</v>
      </c>
      <c r="U118" s="271">
        <v>362.7</v>
      </c>
      <c r="V118" s="273">
        <v>0</v>
      </c>
      <c r="W118" s="273"/>
      <c r="X118" s="273">
        <f t="shared" si="5"/>
        <v>49857.166666666664</v>
      </c>
      <c r="Z118" s="63"/>
      <c r="AA118" s="289"/>
    </row>
    <row r="119" spans="1:27">
      <c r="A119" s="231">
        <v>1012</v>
      </c>
      <c r="B119" s="4">
        <v>103126</v>
      </c>
      <c r="C119" s="4" t="s">
        <v>714</v>
      </c>
      <c r="D119" s="4" t="s">
        <v>715</v>
      </c>
      <c r="E119" s="213" t="s">
        <v>180</v>
      </c>
      <c r="F119" s="248" t="s">
        <v>411</v>
      </c>
      <c r="G119" s="37"/>
      <c r="H119" s="273">
        <v>321704.10000000009</v>
      </c>
      <c r="I119" s="271">
        <v>136476</v>
      </c>
      <c r="J119" s="273">
        <v>6817.2</v>
      </c>
      <c r="K119" s="271">
        <v>0</v>
      </c>
      <c r="L119" s="271">
        <v>8323.2000000000007</v>
      </c>
      <c r="M119" s="273">
        <v>243166.40666666668</v>
      </c>
      <c r="N119" s="273">
        <v>0</v>
      </c>
      <c r="O119" s="273">
        <f t="shared" si="4"/>
        <v>716486.90666666673</v>
      </c>
      <c r="P119" s="37"/>
      <c r="Q119" s="273">
        <v>287005.5</v>
      </c>
      <c r="R119" s="271">
        <v>107455.94999999998</v>
      </c>
      <c r="S119" s="273">
        <v>14498.9676</v>
      </c>
      <c r="T119" s="271">
        <v>0</v>
      </c>
      <c r="U119" s="271">
        <v>11597.099999999999</v>
      </c>
      <c r="V119" s="273">
        <v>182068.43564422053</v>
      </c>
      <c r="W119" s="273"/>
      <c r="X119" s="273">
        <f t="shared" si="5"/>
        <v>602625.95324422047</v>
      </c>
      <c r="Z119" s="63"/>
      <c r="AA119" s="289"/>
    </row>
    <row r="120" spans="1:27">
      <c r="A120" s="231">
        <v>3003</v>
      </c>
      <c r="B120" s="4">
        <v>103398</v>
      </c>
      <c r="C120" s="4" t="s">
        <v>717</v>
      </c>
      <c r="D120" s="4" t="s">
        <v>718</v>
      </c>
      <c r="E120" s="213" t="s">
        <v>5</v>
      </c>
      <c r="F120" s="248" t="s">
        <v>411</v>
      </c>
      <c r="G120" s="37"/>
      <c r="H120" s="273">
        <v>0</v>
      </c>
      <c r="I120" s="271">
        <v>0</v>
      </c>
      <c r="J120" s="273">
        <v>0</v>
      </c>
      <c r="K120" s="271">
        <v>0</v>
      </c>
      <c r="L120" s="271">
        <v>0</v>
      </c>
      <c r="M120" s="273">
        <v>0</v>
      </c>
      <c r="N120" s="273">
        <v>0</v>
      </c>
      <c r="O120" s="273">
        <f t="shared" si="4"/>
        <v>0</v>
      </c>
      <c r="P120" s="37"/>
      <c r="Q120" s="273">
        <v>0</v>
      </c>
      <c r="R120" s="271">
        <v>0</v>
      </c>
      <c r="S120" s="273">
        <v>0</v>
      </c>
      <c r="T120" s="271">
        <v>0</v>
      </c>
      <c r="U120" s="271">
        <v>0</v>
      </c>
      <c r="V120" s="273">
        <v>0</v>
      </c>
      <c r="W120" s="273"/>
      <c r="X120" s="273">
        <f t="shared" si="5"/>
        <v>0</v>
      </c>
      <c r="Z120" s="63"/>
      <c r="AA120" s="289"/>
    </row>
    <row r="121" spans="1:27">
      <c r="A121" s="231">
        <v>2457</v>
      </c>
      <c r="B121" s="4">
        <v>103384</v>
      </c>
      <c r="C121" s="4" t="s">
        <v>720</v>
      </c>
      <c r="D121" s="4" t="s">
        <v>721</v>
      </c>
      <c r="E121" s="213" t="s">
        <v>5</v>
      </c>
      <c r="F121" s="248" t="s">
        <v>411</v>
      </c>
      <c r="G121" s="37"/>
      <c r="H121" s="273">
        <v>118047.6</v>
      </c>
      <c r="I121" s="271">
        <v>0</v>
      </c>
      <c r="J121" s="273">
        <v>5802.6</v>
      </c>
      <c r="K121" s="271">
        <v>1962</v>
      </c>
      <c r="L121" s="271">
        <v>5171.4000000000005</v>
      </c>
      <c r="M121" s="273">
        <v>0</v>
      </c>
      <c r="N121" s="273">
        <v>0</v>
      </c>
      <c r="O121" s="273">
        <f t="shared" si="4"/>
        <v>130983.6</v>
      </c>
      <c r="P121" s="37"/>
      <c r="Q121" s="273">
        <v>143961</v>
      </c>
      <c r="R121" s="271">
        <v>1132.9499999999998</v>
      </c>
      <c r="S121" s="273">
        <v>12469.619047619046</v>
      </c>
      <c r="T121" s="271">
        <v>1090</v>
      </c>
      <c r="U121" s="271">
        <v>1088.0999999999999</v>
      </c>
      <c r="V121" s="273">
        <v>0</v>
      </c>
      <c r="W121" s="273"/>
      <c r="X121" s="273">
        <f t="shared" si="5"/>
        <v>159741.66904761907</v>
      </c>
      <c r="Z121" s="63"/>
      <c r="AA121" s="289"/>
    </row>
    <row r="122" spans="1:27">
      <c r="A122" s="231">
        <v>2142</v>
      </c>
      <c r="B122" s="4">
        <v>103237</v>
      </c>
      <c r="C122" s="4" t="s">
        <v>723</v>
      </c>
      <c r="D122" s="4" t="s">
        <v>724</v>
      </c>
      <c r="E122" s="213" t="s">
        <v>5</v>
      </c>
      <c r="F122" s="248" t="s">
        <v>411</v>
      </c>
      <c r="G122" s="37"/>
      <c r="H122" s="273">
        <v>79348.800000000003</v>
      </c>
      <c r="I122" s="271">
        <v>0</v>
      </c>
      <c r="J122" s="273">
        <v>5745.5999999999995</v>
      </c>
      <c r="K122" s="271">
        <v>0</v>
      </c>
      <c r="L122" s="271">
        <v>2703</v>
      </c>
      <c r="M122" s="273">
        <v>0</v>
      </c>
      <c r="N122" s="273">
        <v>0</v>
      </c>
      <c r="O122" s="273">
        <f t="shared" si="4"/>
        <v>87797.400000000009</v>
      </c>
      <c r="P122" s="37"/>
      <c r="Q122" s="273">
        <v>69654</v>
      </c>
      <c r="R122" s="271">
        <v>0</v>
      </c>
      <c r="S122" s="273">
        <v>12092.339999999998</v>
      </c>
      <c r="T122" s="271">
        <v>7630</v>
      </c>
      <c r="U122" s="271">
        <v>1571.7</v>
      </c>
      <c r="V122" s="273">
        <v>0</v>
      </c>
      <c r="W122" s="273"/>
      <c r="X122" s="273">
        <f t="shared" si="5"/>
        <v>90948.04</v>
      </c>
      <c r="Z122" s="63"/>
      <c r="AA122" s="289"/>
    </row>
    <row r="123" spans="1:27">
      <c r="A123" s="231">
        <v>2469</v>
      </c>
      <c r="B123" s="4">
        <v>103395</v>
      </c>
      <c r="C123" s="4" t="s">
        <v>726</v>
      </c>
      <c r="D123" s="4" t="s">
        <v>727</v>
      </c>
      <c r="E123" s="213" t="s">
        <v>5</v>
      </c>
      <c r="F123" s="248" t="s">
        <v>411</v>
      </c>
      <c r="G123" s="37"/>
      <c r="H123" s="273">
        <v>0</v>
      </c>
      <c r="I123" s="271">
        <v>0</v>
      </c>
      <c r="J123" s="273">
        <v>0</v>
      </c>
      <c r="K123" s="271">
        <v>0</v>
      </c>
      <c r="L123" s="271">
        <v>0</v>
      </c>
      <c r="M123" s="273">
        <v>0</v>
      </c>
      <c r="N123" s="273">
        <v>0</v>
      </c>
      <c r="O123" s="273">
        <f t="shared" si="4"/>
        <v>0</v>
      </c>
      <c r="P123" s="37"/>
      <c r="Q123" s="273">
        <v>0</v>
      </c>
      <c r="R123" s="271">
        <v>0</v>
      </c>
      <c r="S123" s="273">
        <v>0</v>
      </c>
      <c r="T123" s="271">
        <v>0</v>
      </c>
      <c r="U123" s="271">
        <v>0</v>
      </c>
      <c r="V123" s="273">
        <v>0</v>
      </c>
      <c r="W123" s="273"/>
      <c r="X123" s="273">
        <f t="shared" si="5"/>
        <v>0</v>
      </c>
      <c r="Z123" s="63"/>
      <c r="AA123" s="289"/>
    </row>
    <row r="124" spans="1:27">
      <c r="A124" s="231">
        <v>3431</v>
      </c>
      <c r="B124" s="4">
        <v>134774</v>
      </c>
      <c r="C124" s="4" t="s">
        <v>729</v>
      </c>
      <c r="D124" s="4" t="s">
        <v>730</v>
      </c>
      <c r="E124" s="213" t="s">
        <v>5</v>
      </c>
      <c r="F124" s="248" t="s">
        <v>411</v>
      </c>
      <c r="G124" s="37"/>
      <c r="H124" s="273">
        <v>181542.9</v>
      </c>
      <c r="I124" s="271">
        <v>0</v>
      </c>
      <c r="J124" s="273">
        <v>1436.3999999999999</v>
      </c>
      <c r="K124" s="271">
        <v>0</v>
      </c>
      <c r="L124" s="271">
        <v>1428</v>
      </c>
      <c r="M124" s="273">
        <v>0</v>
      </c>
      <c r="N124" s="273">
        <v>0</v>
      </c>
      <c r="O124" s="273">
        <f t="shared" si="4"/>
        <v>184407.3</v>
      </c>
      <c r="P124" s="37"/>
      <c r="Q124" s="273">
        <v>171879</v>
      </c>
      <c r="R124" s="271">
        <v>0</v>
      </c>
      <c r="S124" s="273">
        <v>1990.8</v>
      </c>
      <c r="T124" s="271">
        <v>0</v>
      </c>
      <c r="U124" s="271">
        <v>483.6</v>
      </c>
      <c r="V124" s="273">
        <v>0</v>
      </c>
      <c r="W124" s="273"/>
      <c r="X124" s="273">
        <f t="shared" si="5"/>
        <v>174353.4</v>
      </c>
      <c r="Z124" s="63"/>
      <c r="AA124" s="289"/>
    </row>
    <row r="125" spans="1:27">
      <c r="A125" s="231">
        <v>1028</v>
      </c>
      <c r="B125" s="4">
        <v>103141</v>
      </c>
      <c r="C125" s="4" t="s">
        <v>732</v>
      </c>
      <c r="D125" s="4" t="s">
        <v>733</v>
      </c>
      <c r="E125" s="213" t="s">
        <v>180</v>
      </c>
      <c r="F125" s="248" t="s">
        <v>411</v>
      </c>
      <c r="G125" s="37"/>
      <c r="H125" s="273">
        <v>220810.80000000002</v>
      </c>
      <c r="I125" s="271">
        <v>135252</v>
      </c>
      <c r="J125" s="273">
        <v>23164.799999999999</v>
      </c>
      <c r="K125" s="271">
        <v>5450</v>
      </c>
      <c r="L125" s="271">
        <v>18768</v>
      </c>
      <c r="M125" s="273">
        <v>255930.70666666669</v>
      </c>
      <c r="N125" s="273">
        <v>2730</v>
      </c>
      <c r="O125" s="273">
        <f t="shared" si="4"/>
        <v>662106.30666666676</v>
      </c>
      <c r="P125" s="37"/>
      <c r="Q125" s="273">
        <v>215307</v>
      </c>
      <c r="R125" s="271">
        <v>120249.57</v>
      </c>
      <c r="S125" s="273">
        <v>26470.598130841117</v>
      </c>
      <c r="T125" s="271">
        <v>9810</v>
      </c>
      <c r="U125" s="271">
        <v>14480.099999999999</v>
      </c>
      <c r="V125" s="273">
        <v>162216.18213149518</v>
      </c>
      <c r="W125" s="273"/>
      <c r="X125" s="273">
        <f t="shared" si="5"/>
        <v>548533.45026233629</v>
      </c>
      <c r="Z125" s="63"/>
      <c r="AA125" s="289"/>
    </row>
    <row r="126" spans="1:27">
      <c r="A126" s="231">
        <v>1049</v>
      </c>
      <c r="B126" s="4">
        <v>103145</v>
      </c>
      <c r="C126" s="4" t="s">
        <v>735</v>
      </c>
      <c r="D126" s="4" t="s">
        <v>736</v>
      </c>
      <c r="E126" s="213" t="s">
        <v>180</v>
      </c>
      <c r="F126" s="248" t="s">
        <v>411</v>
      </c>
      <c r="G126" s="37"/>
      <c r="H126" s="273">
        <v>322815.2</v>
      </c>
      <c r="I126" s="271">
        <v>150184.80000000002</v>
      </c>
      <c r="J126" s="273">
        <v>15572.4</v>
      </c>
      <c r="K126" s="271">
        <v>4142</v>
      </c>
      <c r="L126" s="271">
        <v>19604.400000000001</v>
      </c>
      <c r="M126" s="273">
        <v>228274.72333333333</v>
      </c>
      <c r="N126" s="273">
        <v>10920</v>
      </c>
      <c r="O126" s="273">
        <f t="shared" si="4"/>
        <v>751513.52333333343</v>
      </c>
      <c r="P126" s="37"/>
      <c r="Q126" s="273">
        <v>266983.5</v>
      </c>
      <c r="R126" s="271">
        <v>115735.20000000001</v>
      </c>
      <c r="S126" s="273">
        <v>26048.705882352937</v>
      </c>
      <c r="T126" s="271">
        <v>10900</v>
      </c>
      <c r="U126" s="271">
        <v>13838.400000000001</v>
      </c>
      <c r="V126" s="273">
        <v>174257.71295068925</v>
      </c>
      <c r="W126" s="273"/>
      <c r="X126" s="273">
        <f t="shared" si="5"/>
        <v>607763.51883304224</v>
      </c>
      <c r="Z126" s="63"/>
      <c r="AA126" s="289"/>
    </row>
    <row r="127" spans="1:27">
      <c r="A127" s="231">
        <v>2149</v>
      </c>
      <c r="B127" s="4">
        <v>103240</v>
      </c>
      <c r="C127" s="4" t="s">
        <v>738</v>
      </c>
      <c r="D127" s="4" t="s">
        <v>739</v>
      </c>
      <c r="E127" s="213" t="s">
        <v>5</v>
      </c>
      <c r="F127" s="248" t="s">
        <v>411</v>
      </c>
      <c r="G127" s="37"/>
      <c r="H127" s="273">
        <v>68861.100000000006</v>
      </c>
      <c r="I127" s="271">
        <v>0</v>
      </c>
      <c r="J127" s="273">
        <v>1356.6000000000001</v>
      </c>
      <c r="K127" s="271">
        <v>0</v>
      </c>
      <c r="L127" s="271">
        <v>4355.4000000000005</v>
      </c>
      <c r="M127" s="273">
        <v>0</v>
      </c>
      <c r="N127" s="273">
        <v>0</v>
      </c>
      <c r="O127" s="273">
        <f t="shared" si="4"/>
        <v>74573.100000000006</v>
      </c>
      <c r="P127" s="37"/>
      <c r="Q127" s="273">
        <v>54496.5</v>
      </c>
      <c r="R127" s="271">
        <v>0</v>
      </c>
      <c r="S127" s="273">
        <v>1174.2839999999999</v>
      </c>
      <c r="T127" s="271">
        <v>3270</v>
      </c>
      <c r="U127" s="271">
        <v>1209</v>
      </c>
      <c r="V127" s="273">
        <v>0</v>
      </c>
      <c r="W127" s="273"/>
      <c r="X127" s="273">
        <f t="shared" si="5"/>
        <v>60149.784</v>
      </c>
      <c r="Z127" s="63"/>
      <c r="AA127" s="289"/>
    </row>
    <row r="128" spans="1:27">
      <c r="A128" s="231">
        <v>2150</v>
      </c>
      <c r="B128" s="4">
        <v>103241</v>
      </c>
      <c r="C128" s="4" t="s">
        <v>741</v>
      </c>
      <c r="D128" s="4" t="s">
        <v>742</v>
      </c>
      <c r="E128" s="213" t="s">
        <v>5</v>
      </c>
      <c r="F128" s="248" t="s">
        <v>411</v>
      </c>
      <c r="G128" s="37"/>
      <c r="H128" s="273">
        <v>61462.8</v>
      </c>
      <c r="I128" s="271">
        <v>0</v>
      </c>
      <c r="J128" s="273">
        <v>2622</v>
      </c>
      <c r="K128" s="271">
        <v>0</v>
      </c>
      <c r="L128" s="271">
        <v>663</v>
      </c>
      <c r="M128" s="273">
        <v>0</v>
      </c>
      <c r="N128" s="273">
        <v>0</v>
      </c>
      <c r="O128" s="273">
        <f t="shared" si="4"/>
        <v>64747.8</v>
      </c>
      <c r="P128" s="37"/>
      <c r="Q128" s="273">
        <v>58374</v>
      </c>
      <c r="R128" s="271">
        <v>0</v>
      </c>
      <c r="S128" s="273">
        <v>4637.2921874999993</v>
      </c>
      <c r="T128" s="271">
        <v>7085</v>
      </c>
      <c r="U128" s="271">
        <v>725.4</v>
      </c>
      <c r="V128" s="273">
        <v>0</v>
      </c>
      <c r="W128" s="273"/>
      <c r="X128" s="273">
        <f t="shared" si="5"/>
        <v>70821.692187499997</v>
      </c>
      <c r="Z128" s="63"/>
      <c r="AA128" s="289"/>
    </row>
    <row r="129" spans="1:27">
      <c r="A129" s="231">
        <v>2425</v>
      </c>
      <c r="B129" s="4">
        <v>103356</v>
      </c>
      <c r="C129" s="4" t="s">
        <v>744</v>
      </c>
      <c r="D129" s="4" t="s">
        <v>745</v>
      </c>
      <c r="E129" s="213" t="s">
        <v>5</v>
      </c>
      <c r="F129" s="248" t="s">
        <v>411</v>
      </c>
      <c r="G129" s="37"/>
      <c r="H129" s="273">
        <v>0</v>
      </c>
      <c r="I129" s="271">
        <v>0</v>
      </c>
      <c r="J129" s="273">
        <v>0</v>
      </c>
      <c r="K129" s="271">
        <v>0</v>
      </c>
      <c r="L129" s="271">
        <v>0</v>
      </c>
      <c r="M129" s="273">
        <v>0</v>
      </c>
      <c r="N129" s="273">
        <v>0</v>
      </c>
      <c r="O129" s="273">
        <f t="shared" si="4"/>
        <v>0</v>
      </c>
      <c r="P129" s="37"/>
      <c r="Q129" s="273">
        <v>0</v>
      </c>
      <c r="R129" s="271">
        <v>0</v>
      </c>
      <c r="S129" s="273">
        <v>0</v>
      </c>
      <c r="T129" s="271">
        <v>0</v>
      </c>
      <c r="U129" s="271">
        <v>0</v>
      </c>
      <c r="V129" s="273">
        <v>0</v>
      </c>
      <c r="W129" s="273"/>
      <c r="X129" s="273">
        <f t="shared" si="5"/>
        <v>0</v>
      </c>
      <c r="Z129" s="63"/>
      <c r="AA129" s="289"/>
    </row>
    <row r="130" spans="1:27">
      <c r="A130" s="231">
        <v>1008</v>
      </c>
      <c r="B130" s="4">
        <v>103123</v>
      </c>
      <c r="C130" s="4" t="s">
        <v>747</v>
      </c>
      <c r="D130" s="4" t="s">
        <v>748</v>
      </c>
      <c r="E130" s="213" t="s">
        <v>180</v>
      </c>
      <c r="F130" s="248" t="s">
        <v>411</v>
      </c>
      <c r="G130" s="37"/>
      <c r="H130" s="273">
        <v>295119</v>
      </c>
      <c r="I130" s="271">
        <v>0</v>
      </c>
      <c r="J130" s="273">
        <v>393.3</v>
      </c>
      <c r="K130" s="271">
        <v>0</v>
      </c>
      <c r="L130" s="271">
        <v>6099.6</v>
      </c>
      <c r="M130" s="273">
        <v>165304.17666666667</v>
      </c>
      <c r="N130" s="273">
        <v>5460</v>
      </c>
      <c r="O130" s="273">
        <f t="shared" si="4"/>
        <v>472376.07666666666</v>
      </c>
      <c r="P130" s="37"/>
      <c r="Q130" s="273">
        <v>264234</v>
      </c>
      <c r="R130" s="271">
        <v>0</v>
      </c>
      <c r="S130" s="273">
        <v>1905.1335616438357</v>
      </c>
      <c r="T130" s="271">
        <v>0</v>
      </c>
      <c r="U130" s="271">
        <v>2901.6</v>
      </c>
      <c r="V130" s="273">
        <v>160263.50145811235</v>
      </c>
      <c r="W130" s="273"/>
      <c r="X130" s="273">
        <f t="shared" si="5"/>
        <v>429304.23501975613</v>
      </c>
      <c r="Z130" s="63"/>
      <c r="AA130" s="289"/>
    </row>
    <row r="131" spans="1:27">
      <c r="A131" s="231">
        <v>7034</v>
      </c>
      <c r="B131" s="4">
        <v>103614</v>
      </c>
      <c r="C131" s="4" t="s">
        <v>750</v>
      </c>
      <c r="D131" s="4" t="s">
        <v>751</v>
      </c>
      <c r="E131" s="213" t="s">
        <v>1093</v>
      </c>
      <c r="F131" s="248" t="s">
        <v>411</v>
      </c>
      <c r="G131" s="37"/>
      <c r="H131" s="273">
        <v>5203.2000000000007</v>
      </c>
      <c r="I131" s="271">
        <v>0</v>
      </c>
      <c r="J131" s="273">
        <v>210.89999999999998</v>
      </c>
      <c r="K131" s="271">
        <v>0</v>
      </c>
      <c r="L131" s="271">
        <v>265.20000000000005</v>
      </c>
      <c r="M131" s="273">
        <v>0</v>
      </c>
      <c r="N131" s="273">
        <v>0</v>
      </c>
      <c r="O131" s="273">
        <f t="shared" si="4"/>
        <v>5679.3</v>
      </c>
      <c r="P131" s="37"/>
      <c r="Q131" s="273">
        <v>9024</v>
      </c>
      <c r="R131" s="271">
        <v>0</v>
      </c>
      <c r="S131" s="273">
        <v>0</v>
      </c>
      <c r="T131" s="271">
        <v>0</v>
      </c>
      <c r="U131" s="271">
        <v>0</v>
      </c>
      <c r="V131" s="273">
        <v>0</v>
      </c>
      <c r="W131" s="273"/>
      <c r="X131" s="273">
        <f t="shared" si="5"/>
        <v>9024</v>
      </c>
      <c r="Z131" s="63"/>
      <c r="AA131" s="289"/>
    </row>
    <row r="132" spans="1:27">
      <c r="A132" s="231">
        <v>2157</v>
      </c>
      <c r="B132" s="4">
        <v>103246</v>
      </c>
      <c r="C132" s="4" t="s">
        <v>753</v>
      </c>
      <c r="D132" s="4" t="s">
        <v>754</v>
      </c>
      <c r="E132" s="213" t="s">
        <v>5</v>
      </c>
      <c r="F132" s="248" t="s">
        <v>411</v>
      </c>
      <c r="G132" s="37"/>
      <c r="H132" s="273">
        <v>114226.50000000001</v>
      </c>
      <c r="I132" s="271">
        <v>0</v>
      </c>
      <c r="J132" s="273">
        <v>1601.6999999999998</v>
      </c>
      <c r="K132" s="271">
        <v>0</v>
      </c>
      <c r="L132" s="271">
        <v>1825.8</v>
      </c>
      <c r="M132" s="273">
        <v>0</v>
      </c>
      <c r="N132" s="273">
        <v>0</v>
      </c>
      <c r="O132" s="273">
        <f t="shared" si="4"/>
        <v>117654.00000000001</v>
      </c>
      <c r="P132" s="37"/>
      <c r="Q132" s="273">
        <v>110121</v>
      </c>
      <c r="R132" s="271">
        <v>0</v>
      </c>
      <c r="S132" s="273">
        <v>2181.1017857142856</v>
      </c>
      <c r="T132" s="271">
        <v>545</v>
      </c>
      <c r="U132" s="271">
        <v>241.8</v>
      </c>
      <c r="V132" s="273">
        <v>0</v>
      </c>
      <c r="W132" s="273"/>
      <c r="X132" s="273">
        <f t="shared" si="5"/>
        <v>113088.90178571429</v>
      </c>
      <c r="Z132" s="63"/>
      <c r="AA132" s="289"/>
    </row>
    <row r="133" spans="1:27">
      <c r="A133" s="231">
        <v>2159</v>
      </c>
      <c r="B133" s="4">
        <v>103247</v>
      </c>
      <c r="C133" s="4" t="s">
        <v>756</v>
      </c>
      <c r="D133" s="4" t="s">
        <v>757</v>
      </c>
      <c r="E133" s="213" t="s">
        <v>5</v>
      </c>
      <c r="F133" s="248" t="s">
        <v>411</v>
      </c>
      <c r="G133" s="37"/>
      <c r="H133" s="273">
        <v>0</v>
      </c>
      <c r="I133" s="271">
        <v>0</v>
      </c>
      <c r="J133" s="273">
        <v>0</v>
      </c>
      <c r="K133" s="271">
        <v>0</v>
      </c>
      <c r="L133" s="271">
        <v>0</v>
      </c>
      <c r="M133" s="273">
        <v>0</v>
      </c>
      <c r="N133" s="273">
        <v>0</v>
      </c>
      <c r="O133" s="273">
        <f t="shared" si="4"/>
        <v>0</v>
      </c>
      <c r="P133" s="37"/>
      <c r="Q133" s="273">
        <v>0</v>
      </c>
      <c r="R133" s="271">
        <v>0</v>
      </c>
      <c r="S133" s="273">
        <v>0</v>
      </c>
      <c r="T133" s="271">
        <v>0</v>
      </c>
      <c r="U133" s="271">
        <v>0</v>
      </c>
      <c r="V133" s="273">
        <v>0</v>
      </c>
      <c r="W133" s="273"/>
      <c r="X133" s="273">
        <f t="shared" si="5"/>
        <v>0</v>
      </c>
      <c r="Z133" s="63"/>
      <c r="AA133" s="289"/>
    </row>
    <row r="134" spans="1:27">
      <c r="A134" s="231">
        <v>2161</v>
      </c>
      <c r="B134" s="4">
        <v>103249</v>
      </c>
      <c r="C134" s="4" t="s">
        <v>759</v>
      </c>
      <c r="D134" s="4" t="s">
        <v>760</v>
      </c>
      <c r="E134" s="213" t="s">
        <v>5</v>
      </c>
      <c r="F134" s="248" t="s">
        <v>411</v>
      </c>
      <c r="G134" s="37"/>
      <c r="H134" s="273">
        <v>146909.1</v>
      </c>
      <c r="I134" s="271">
        <v>0</v>
      </c>
      <c r="J134" s="273">
        <v>2872.8</v>
      </c>
      <c r="K134" s="271">
        <v>0</v>
      </c>
      <c r="L134" s="271">
        <v>4773.6000000000004</v>
      </c>
      <c r="M134" s="273">
        <v>0</v>
      </c>
      <c r="N134" s="273">
        <v>0</v>
      </c>
      <c r="O134" s="273">
        <f t="shared" si="4"/>
        <v>154555.5</v>
      </c>
      <c r="P134" s="37"/>
      <c r="Q134" s="273">
        <v>135712.5</v>
      </c>
      <c r="R134" s="271">
        <v>0</v>
      </c>
      <c r="S134" s="273">
        <v>7012.5</v>
      </c>
      <c r="T134" s="271">
        <v>0</v>
      </c>
      <c r="U134" s="271">
        <v>2659.8</v>
      </c>
      <c r="V134" s="273">
        <v>0</v>
      </c>
      <c r="W134" s="273"/>
      <c r="X134" s="273">
        <f t="shared" si="5"/>
        <v>145384.79999999999</v>
      </c>
      <c r="Z134" s="63"/>
      <c r="AA134" s="289"/>
    </row>
    <row r="135" spans="1:27">
      <c r="A135" s="231">
        <v>1018</v>
      </c>
      <c r="B135" s="4">
        <v>103131</v>
      </c>
      <c r="C135" s="4" t="s">
        <v>762</v>
      </c>
      <c r="D135" s="4" t="s">
        <v>763</v>
      </c>
      <c r="E135" s="213" t="s">
        <v>180</v>
      </c>
      <c r="F135" s="248" t="s">
        <v>411</v>
      </c>
      <c r="G135" s="37"/>
      <c r="H135" s="273">
        <v>436255.80000000005</v>
      </c>
      <c r="I135" s="271">
        <v>167198.39999999999</v>
      </c>
      <c r="J135" s="273">
        <v>13224</v>
      </c>
      <c r="K135" s="271">
        <v>7412</v>
      </c>
      <c r="L135" s="271">
        <v>15024.6</v>
      </c>
      <c r="M135" s="273">
        <v>280182.87666666671</v>
      </c>
      <c r="N135" s="273">
        <v>9100</v>
      </c>
      <c r="O135" s="273">
        <f t="shared" si="4"/>
        <v>928397.67666666675</v>
      </c>
      <c r="P135" s="37"/>
      <c r="Q135" s="273">
        <v>332689.5</v>
      </c>
      <c r="R135" s="271">
        <v>107717.4</v>
      </c>
      <c r="S135" s="273">
        <v>21653.461475409833</v>
      </c>
      <c r="T135" s="271">
        <v>27795</v>
      </c>
      <c r="U135" s="271">
        <v>13066.5</v>
      </c>
      <c r="V135" s="273">
        <v>214287.66675503706</v>
      </c>
      <c r="W135" s="273"/>
      <c r="X135" s="273">
        <f t="shared" si="5"/>
        <v>717209.52823044697</v>
      </c>
      <c r="Z135" s="63"/>
      <c r="AA135" s="289"/>
    </row>
    <row r="136" spans="1:27">
      <c r="A136" s="231">
        <v>1000</v>
      </c>
      <c r="B136" s="4">
        <v>137796</v>
      </c>
      <c r="C136" s="4" t="s">
        <v>765</v>
      </c>
      <c r="D136" s="4" t="s">
        <v>766</v>
      </c>
      <c r="E136" s="213" t="s">
        <v>180</v>
      </c>
      <c r="F136" s="248" t="s">
        <v>411</v>
      </c>
      <c r="G136" s="37"/>
      <c r="H136" s="273">
        <v>301563.38</v>
      </c>
      <c r="I136" s="271">
        <v>0</v>
      </c>
      <c r="J136" s="273">
        <v>4799.4000000000005</v>
      </c>
      <c r="K136" s="271">
        <v>3052</v>
      </c>
      <c r="L136" s="271">
        <v>6181.2000000000007</v>
      </c>
      <c r="M136" s="273">
        <v>178068.47666666668</v>
      </c>
      <c r="N136" s="273">
        <v>1820</v>
      </c>
      <c r="O136" s="273">
        <f t="shared" si="4"/>
        <v>495484.45666666672</v>
      </c>
      <c r="P136" s="37"/>
      <c r="Q136" s="273">
        <v>247938.15999999997</v>
      </c>
      <c r="R136" s="271">
        <v>0</v>
      </c>
      <c r="S136" s="273">
        <v>5920.645161290322</v>
      </c>
      <c r="T136" s="271">
        <v>9265</v>
      </c>
      <c r="U136" s="271">
        <v>1934.4</v>
      </c>
      <c r="V136" s="273">
        <v>168074.22415164366</v>
      </c>
      <c r="W136" s="273"/>
      <c r="X136" s="273">
        <f t="shared" si="5"/>
        <v>433132.42931293405</v>
      </c>
      <c r="Z136" s="63"/>
      <c r="AA136" s="289"/>
    </row>
    <row r="137" spans="1:27">
      <c r="A137" s="231">
        <v>2169</v>
      </c>
      <c r="B137" s="4">
        <v>103252</v>
      </c>
      <c r="C137" s="4" t="s">
        <v>768</v>
      </c>
      <c r="D137" s="4" t="s">
        <v>769</v>
      </c>
      <c r="E137" s="213" t="s">
        <v>5</v>
      </c>
      <c r="F137" s="248" t="s">
        <v>411</v>
      </c>
      <c r="G137" s="37"/>
      <c r="H137" s="273">
        <v>129510.9</v>
      </c>
      <c r="I137" s="271">
        <v>0</v>
      </c>
      <c r="J137" s="273">
        <v>6041.9999999999991</v>
      </c>
      <c r="K137" s="271">
        <v>0</v>
      </c>
      <c r="L137" s="271">
        <v>6273.0000000000009</v>
      </c>
      <c r="M137" s="273">
        <v>0</v>
      </c>
      <c r="N137" s="273">
        <v>0</v>
      </c>
      <c r="O137" s="273">
        <f t="shared" si="4"/>
        <v>141825.9</v>
      </c>
      <c r="P137" s="37"/>
      <c r="Q137" s="273">
        <v>113082</v>
      </c>
      <c r="R137" s="271">
        <v>1132.9499999999998</v>
      </c>
      <c r="S137" s="273">
        <v>8111.4</v>
      </c>
      <c r="T137" s="271">
        <v>9810</v>
      </c>
      <c r="U137" s="271">
        <v>1088.0999999999999</v>
      </c>
      <c r="V137" s="273">
        <v>0</v>
      </c>
      <c r="W137" s="273"/>
      <c r="X137" s="273">
        <f t="shared" si="5"/>
        <v>133224.44999999998</v>
      </c>
      <c r="Z137" s="63"/>
      <c r="AA137" s="289"/>
    </row>
    <row r="138" spans="1:27">
      <c r="A138" s="231">
        <v>7047</v>
      </c>
      <c r="B138" s="4">
        <v>103623</v>
      </c>
      <c r="C138" s="4" t="s">
        <v>771</v>
      </c>
      <c r="D138" s="4" t="s">
        <v>772</v>
      </c>
      <c r="E138" s="213" t="s">
        <v>1093</v>
      </c>
      <c r="F138" s="248" t="s">
        <v>411</v>
      </c>
      <c r="G138" s="37"/>
      <c r="H138" s="273">
        <v>0</v>
      </c>
      <c r="I138" s="271">
        <v>0</v>
      </c>
      <c r="J138" s="273">
        <v>0</v>
      </c>
      <c r="K138" s="271">
        <v>0</v>
      </c>
      <c r="L138" s="271">
        <v>0</v>
      </c>
      <c r="M138" s="273">
        <v>0</v>
      </c>
      <c r="N138" s="273">
        <v>0</v>
      </c>
      <c r="O138" s="273">
        <f t="shared" ref="O138:O201" si="6">SUM(H138:N138)</f>
        <v>0</v>
      </c>
      <c r="P138" s="37"/>
      <c r="Q138" s="273">
        <v>0</v>
      </c>
      <c r="R138" s="271">
        <v>0</v>
      </c>
      <c r="S138" s="273">
        <v>0</v>
      </c>
      <c r="T138" s="271">
        <v>0</v>
      </c>
      <c r="U138" s="271">
        <v>0</v>
      </c>
      <c r="V138" s="273">
        <v>0</v>
      </c>
      <c r="W138" s="273"/>
      <c r="X138" s="273">
        <f t="shared" ref="X138:X201" si="7">SUM(Q138:W138)</f>
        <v>0</v>
      </c>
      <c r="Z138" s="63"/>
      <c r="AA138" s="289"/>
    </row>
    <row r="139" spans="1:27">
      <c r="A139" s="231">
        <v>3381</v>
      </c>
      <c r="B139" s="4">
        <v>103466</v>
      </c>
      <c r="C139" s="4" t="s">
        <v>774</v>
      </c>
      <c r="D139" s="4" t="s">
        <v>775</v>
      </c>
      <c r="E139" s="213" t="s">
        <v>5</v>
      </c>
      <c r="F139" s="248" t="s">
        <v>411</v>
      </c>
      <c r="G139" s="37"/>
      <c r="H139" s="273">
        <v>0</v>
      </c>
      <c r="I139" s="271">
        <v>0</v>
      </c>
      <c r="J139" s="273">
        <v>0</v>
      </c>
      <c r="K139" s="271">
        <v>0</v>
      </c>
      <c r="L139" s="271">
        <v>0</v>
      </c>
      <c r="M139" s="273">
        <v>0</v>
      </c>
      <c r="N139" s="273">
        <v>0</v>
      </c>
      <c r="O139" s="273">
        <f t="shared" si="6"/>
        <v>0</v>
      </c>
      <c r="P139" s="37"/>
      <c r="Q139" s="273">
        <v>0</v>
      </c>
      <c r="R139" s="271">
        <v>0</v>
      </c>
      <c r="S139" s="273">
        <v>0</v>
      </c>
      <c r="T139" s="271">
        <v>0</v>
      </c>
      <c r="U139" s="271">
        <v>0</v>
      </c>
      <c r="V139" s="273">
        <v>0</v>
      </c>
      <c r="W139" s="273"/>
      <c r="X139" s="273">
        <f t="shared" si="7"/>
        <v>0</v>
      </c>
      <c r="Z139" s="63"/>
      <c r="AA139" s="289"/>
    </row>
    <row r="140" spans="1:27">
      <c r="A140" s="231">
        <v>3329</v>
      </c>
      <c r="B140" s="4">
        <v>103431</v>
      </c>
      <c r="C140" s="4" t="s">
        <v>777</v>
      </c>
      <c r="D140" s="4" t="s">
        <v>778</v>
      </c>
      <c r="E140" s="213" t="s">
        <v>5</v>
      </c>
      <c r="F140" s="248" t="s">
        <v>411</v>
      </c>
      <c r="G140" s="37"/>
      <c r="H140" s="273">
        <v>109348.5</v>
      </c>
      <c r="I140" s="271">
        <v>0</v>
      </c>
      <c r="J140" s="273">
        <v>1903.8</v>
      </c>
      <c r="K140" s="271">
        <v>2834</v>
      </c>
      <c r="L140" s="271">
        <v>5079.6000000000004</v>
      </c>
      <c r="M140" s="273">
        <v>0</v>
      </c>
      <c r="N140" s="273">
        <v>0</v>
      </c>
      <c r="O140" s="273">
        <f t="shared" si="6"/>
        <v>119165.90000000001</v>
      </c>
      <c r="P140" s="37"/>
      <c r="Q140" s="273">
        <v>112870.5</v>
      </c>
      <c r="R140" s="271">
        <v>0</v>
      </c>
      <c r="S140" s="273">
        <v>1440.1714285714286</v>
      </c>
      <c r="T140" s="271">
        <v>4905</v>
      </c>
      <c r="U140" s="271">
        <v>1088.0999999999999</v>
      </c>
      <c r="V140" s="273">
        <v>0</v>
      </c>
      <c r="W140" s="273"/>
      <c r="X140" s="273">
        <f t="shared" si="7"/>
        <v>120303.77142857143</v>
      </c>
      <c r="Z140" s="63"/>
      <c r="AA140" s="289"/>
    </row>
    <row r="141" spans="1:27">
      <c r="A141" s="231">
        <v>2183</v>
      </c>
      <c r="B141" s="4">
        <v>103261</v>
      </c>
      <c r="C141" s="4" t="s">
        <v>780</v>
      </c>
      <c r="D141" s="4" t="s">
        <v>781</v>
      </c>
      <c r="E141" s="213" t="s">
        <v>5</v>
      </c>
      <c r="F141" s="248" t="s">
        <v>411</v>
      </c>
      <c r="G141" s="37"/>
      <c r="H141" s="273">
        <v>0</v>
      </c>
      <c r="I141" s="271">
        <v>0</v>
      </c>
      <c r="J141" s="273">
        <v>0</v>
      </c>
      <c r="K141" s="271">
        <v>0</v>
      </c>
      <c r="L141" s="271">
        <v>0</v>
      </c>
      <c r="M141" s="273">
        <v>0</v>
      </c>
      <c r="N141" s="273">
        <v>0</v>
      </c>
      <c r="O141" s="273">
        <f t="shared" si="6"/>
        <v>0</v>
      </c>
      <c r="P141" s="37"/>
      <c r="Q141" s="273">
        <v>0</v>
      </c>
      <c r="R141" s="271">
        <v>0</v>
      </c>
      <c r="S141" s="273">
        <v>0</v>
      </c>
      <c r="T141" s="271">
        <v>0</v>
      </c>
      <c r="U141" s="271">
        <v>0</v>
      </c>
      <c r="V141" s="273">
        <v>0</v>
      </c>
      <c r="W141" s="273"/>
      <c r="X141" s="273">
        <f t="shared" si="7"/>
        <v>0</v>
      </c>
      <c r="Z141" s="63"/>
      <c r="AA141" s="289"/>
    </row>
    <row r="142" spans="1:27">
      <c r="A142" s="231">
        <v>3331</v>
      </c>
      <c r="B142" s="4">
        <v>103433</v>
      </c>
      <c r="C142" s="4" t="s">
        <v>786</v>
      </c>
      <c r="D142" s="4" t="s">
        <v>787</v>
      </c>
      <c r="E142" s="213" t="s">
        <v>5</v>
      </c>
      <c r="F142" s="248" t="s">
        <v>411</v>
      </c>
      <c r="G142" s="37"/>
      <c r="H142" s="273">
        <v>121868.7</v>
      </c>
      <c r="I142" s="271">
        <v>0</v>
      </c>
      <c r="J142" s="273">
        <v>5591.7000000000007</v>
      </c>
      <c r="K142" s="271">
        <v>1308</v>
      </c>
      <c r="L142" s="271">
        <v>2325.6000000000004</v>
      </c>
      <c r="M142" s="273">
        <v>0</v>
      </c>
      <c r="N142" s="273">
        <v>0</v>
      </c>
      <c r="O142" s="273">
        <f t="shared" si="6"/>
        <v>131094</v>
      </c>
      <c r="P142" s="37"/>
      <c r="Q142" s="273">
        <v>109416</v>
      </c>
      <c r="R142" s="271">
        <v>0</v>
      </c>
      <c r="S142" s="273">
        <v>8792.0590909090897</v>
      </c>
      <c r="T142" s="271">
        <v>2725</v>
      </c>
      <c r="U142" s="271">
        <v>846.3</v>
      </c>
      <c r="V142" s="273">
        <v>0</v>
      </c>
      <c r="W142" s="273"/>
      <c r="X142" s="273">
        <f t="shared" si="7"/>
        <v>121779.35909090909</v>
      </c>
      <c r="Z142" s="63"/>
      <c r="AA142" s="289"/>
    </row>
    <row r="143" spans="1:27">
      <c r="A143" s="231">
        <v>3406</v>
      </c>
      <c r="B143" s="4">
        <v>103476</v>
      </c>
      <c r="C143" s="4" t="s">
        <v>789</v>
      </c>
      <c r="D143" s="4" t="s">
        <v>790</v>
      </c>
      <c r="E143" s="213" t="s">
        <v>5</v>
      </c>
      <c r="F143" s="248" t="s">
        <v>411</v>
      </c>
      <c r="G143" s="37"/>
      <c r="H143" s="273">
        <v>75365.100000000006</v>
      </c>
      <c r="I143" s="271">
        <v>0</v>
      </c>
      <c r="J143" s="273">
        <v>2935.4999999999995</v>
      </c>
      <c r="K143" s="271">
        <v>3924</v>
      </c>
      <c r="L143" s="271">
        <v>6140.4000000000005</v>
      </c>
      <c r="M143" s="273">
        <v>0</v>
      </c>
      <c r="N143" s="273">
        <v>0</v>
      </c>
      <c r="O143" s="273">
        <f t="shared" si="6"/>
        <v>88365</v>
      </c>
      <c r="P143" s="37"/>
      <c r="Q143" s="273">
        <v>70006.5</v>
      </c>
      <c r="R143" s="271">
        <v>4270.3499999999995</v>
      </c>
      <c r="S143" s="273">
        <v>2642.4681818181816</v>
      </c>
      <c r="T143" s="271">
        <v>5995</v>
      </c>
      <c r="U143" s="271">
        <v>1209</v>
      </c>
      <c r="V143" s="273">
        <v>0</v>
      </c>
      <c r="W143" s="273"/>
      <c r="X143" s="273">
        <f t="shared" si="7"/>
        <v>84123.318181818191</v>
      </c>
      <c r="Z143" s="63"/>
      <c r="AA143" s="289"/>
    </row>
    <row r="144" spans="1:27">
      <c r="A144" s="231">
        <v>3386</v>
      </c>
      <c r="B144" s="4">
        <v>103470</v>
      </c>
      <c r="C144" s="4" t="s">
        <v>792</v>
      </c>
      <c r="D144" s="4" t="s">
        <v>793</v>
      </c>
      <c r="E144" s="213" t="s">
        <v>5</v>
      </c>
      <c r="F144" s="248" t="s">
        <v>411</v>
      </c>
      <c r="G144" s="37"/>
      <c r="H144" s="273">
        <v>101950.2</v>
      </c>
      <c r="I144" s="271">
        <v>0</v>
      </c>
      <c r="J144" s="273">
        <v>3887.4</v>
      </c>
      <c r="K144" s="271">
        <v>1090</v>
      </c>
      <c r="L144" s="271">
        <v>2539.8000000000002</v>
      </c>
      <c r="M144" s="273">
        <v>0</v>
      </c>
      <c r="N144" s="273">
        <v>0</v>
      </c>
      <c r="O144" s="273">
        <f t="shared" si="6"/>
        <v>109467.4</v>
      </c>
      <c r="P144" s="37"/>
      <c r="Q144" s="273">
        <v>75717</v>
      </c>
      <c r="R144" s="271">
        <v>0</v>
      </c>
      <c r="S144" s="273">
        <v>4942.114285714285</v>
      </c>
      <c r="T144" s="271">
        <v>4360</v>
      </c>
      <c r="U144" s="271">
        <v>1329.9</v>
      </c>
      <c r="V144" s="273">
        <v>0</v>
      </c>
      <c r="W144" s="273"/>
      <c r="X144" s="273">
        <f t="shared" si="7"/>
        <v>86349.014285714278</v>
      </c>
      <c r="Z144" s="63"/>
      <c r="AA144" s="289"/>
    </row>
    <row r="145" spans="1:27">
      <c r="A145" s="231">
        <v>3342</v>
      </c>
      <c r="B145" s="4">
        <v>103437</v>
      </c>
      <c r="C145" s="4" t="s">
        <v>795</v>
      </c>
      <c r="D145" s="4" t="s">
        <v>796</v>
      </c>
      <c r="E145" s="213" t="s">
        <v>5</v>
      </c>
      <c r="F145" s="248" t="s">
        <v>411</v>
      </c>
      <c r="G145" s="37"/>
      <c r="H145" s="273">
        <v>0</v>
      </c>
      <c r="I145" s="271">
        <v>0</v>
      </c>
      <c r="J145" s="273">
        <v>0</v>
      </c>
      <c r="K145" s="271">
        <v>0</v>
      </c>
      <c r="L145" s="271">
        <v>0</v>
      </c>
      <c r="M145" s="273">
        <v>0</v>
      </c>
      <c r="N145" s="273">
        <v>0</v>
      </c>
      <c r="O145" s="273">
        <f t="shared" si="6"/>
        <v>0</v>
      </c>
      <c r="P145" s="37"/>
      <c r="Q145" s="273">
        <v>0</v>
      </c>
      <c r="R145" s="271">
        <v>0</v>
      </c>
      <c r="S145" s="273">
        <v>0</v>
      </c>
      <c r="T145" s="271">
        <v>0</v>
      </c>
      <c r="U145" s="271">
        <v>0</v>
      </c>
      <c r="V145" s="273">
        <v>0</v>
      </c>
      <c r="W145" s="273"/>
      <c r="X145" s="273">
        <f t="shared" si="7"/>
        <v>0</v>
      </c>
      <c r="Z145" s="63"/>
      <c r="AA145" s="289"/>
    </row>
    <row r="146" spans="1:27">
      <c r="A146" s="231">
        <v>3010</v>
      </c>
      <c r="B146" s="4">
        <v>103401</v>
      </c>
      <c r="C146" s="4" t="s">
        <v>798</v>
      </c>
      <c r="D146" s="4" t="s">
        <v>799</v>
      </c>
      <c r="E146" s="213" t="s">
        <v>5</v>
      </c>
      <c r="F146" s="248" t="s">
        <v>411</v>
      </c>
      <c r="G146" s="37"/>
      <c r="H146" s="273">
        <v>0</v>
      </c>
      <c r="I146" s="271">
        <v>0</v>
      </c>
      <c r="J146" s="273">
        <v>0</v>
      </c>
      <c r="K146" s="271">
        <v>0</v>
      </c>
      <c r="L146" s="271">
        <v>0</v>
      </c>
      <c r="M146" s="273">
        <v>0</v>
      </c>
      <c r="N146" s="273">
        <v>0</v>
      </c>
      <c r="O146" s="273">
        <f t="shared" si="6"/>
        <v>0</v>
      </c>
      <c r="P146" s="37"/>
      <c r="Q146" s="273">
        <v>0</v>
      </c>
      <c r="R146" s="271">
        <v>0</v>
      </c>
      <c r="S146" s="273">
        <v>0</v>
      </c>
      <c r="T146" s="271">
        <v>0</v>
      </c>
      <c r="U146" s="271">
        <v>0</v>
      </c>
      <c r="V146" s="273">
        <v>0</v>
      </c>
      <c r="W146" s="273"/>
      <c r="X146" s="273">
        <f t="shared" si="7"/>
        <v>0</v>
      </c>
      <c r="Z146" s="63"/>
      <c r="AA146" s="289"/>
    </row>
    <row r="147" spans="1:27">
      <c r="A147" s="231">
        <v>4625</v>
      </c>
      <c r="B147" s="4">
        <v>103534</v>
      </c>
      <c r="C147" s="4" t="s">
        <v>801</v>
      </c>
      <c r="D147" s="4" t="s">
        <v>802</v>
      </c>
      <c r="E147" s="213" t="s">
        <v>6</v>
      </c>
      <c r="F147" s="248" t="s">
        <v>411</v>
      </c>
      <c r="G147" s="37"/>
      <c r="H147" s="273">
        <v>0</v>
      </c>
      <c r="I147" s="271">
        <v>0</v>
      </c>
      <c r="J147" s="273">
        <v>0</v>
      </c>
      <c r="K147" s="271">
        <v>0</v>
      </c>
      <c r="L147" s="271">
        <v>0</v>
      </c>
      <c r="M147" s="273">
        <v>0</v>
      </c>
      <c r="N147" s="273">
        <v>0</v>
      </c>
      <c r="O147" s="273">
        <f t="shared" si="6"/>
        <v>0</v>
      </c>
      <c r="P147" s="37"/>
      <c r="Q147" s="273">
        <v>0</v>
      </c>
      <c r="R147" s="271">
        <v>0</v>
      </c>
      <c r="S147" s="273">
        <v>0</v>
      </c>
      <c r="T147" s="271">
        <v>0</v>
      </c>
      <c r="U147" s="271">
        <v>0</v>
      </c>
      <c r="V147" s="273">
        <v>0</v>
      </c>
      <c r="W147" s="273"/>
      <c r="X147" s="273">
        <f t="shared" si="7"/>
        <v>0</v>
      </c>
      <c r="Z147" s="63"/>
      <c r="AA147" s="289"/>
    </row>
    <row r="148" spans="1:27">
      <c r="A148" s="231">
        <v>3307</v>
      </c>
      <c r="B148" s="4">
        <v>103416</v>
      </c>
      <c r="C148" s="4" t="s">
        <v>804</v>
      </c>
      <c r="D148" s="4" t="s">
        <v>805</v>
      </c>
      <c r="E148" s="213" t="s">
        <v>5</v>
      </c>
      <c r="F148" s="248" t="s">
        <v>411</v>
      </c>
      <c r="G148" s="37"/>
      <c r="H148" s="273">
        <v>0</v>
      </c>
      <c r="I148" s="271">
        <v>0</v>
      </c>
      <c r="J148" s="273">
        <v>0</v>
      </c>
      <c r="K148" s="271">
        <v>0</v>
      </c>
      <c r="L148" s="271">
        <v>0</v>
      </c>
      <c r="M148" s="273">
        <v>0</v>
      </c>
      <c r="N148" s="273">
        <v>0</v>
      </c>
      <c r="O148" s="273">
        <f t="shared" si="6"/>
        <v>0</v>
      </c>
      <c r="P148" s="37"/>
      <c r="Q148" s="273">
        <v>0</v>
      </c>
      <c r="R148" s="271">
        <v>0</v>
      </c>
      <c r="S148" s="273">
        <v>0</v>
      </c>
      <c r="T148" s="271">
        <v>0</v>
      </c>
      <c r="U148" s="271">
        <v>0</v>
      </c>
      <c r="V148" s="273">
        <v>0</v>
      </c>
      <c r="W148" s="273"/>
      <c r="X148" s="273">
        <f t="shared" si="7"/>
        <v>0</v>
      </c>
      <c r="Z148" s="63"/>
      <c r="AA148" s="289"/>
    </row>
    <row r="149" spans="1:27">
      <c r="A149" s="231">
        <v>3382</v>
      </c>
      <c r="B149" s="4">
        <v>103467</v>
      </c>
      <c r="C149" s="4" t="s">
        <v>807</v>
      </c>
      <c r="D149" s="4" t="s">
        <v>808</v>
      </c>
      <c r="E149" s="213" t="s">
        <v>5</v>
      </c>
      <c r="F149" s="248" t="s">
        <v>411</v>
      </c>
      <c r="G149" s="37"/>
      <c r="H149" s="273">
        <v>0</v>
      </c>
      <c r="I149" s="271">
        <v>0</v>
      </c>
      <c r="J149" s="273">
        <v>0</v>
      </c>
      <c r="K149" s="271">
        <v>0</v>
      </c>
      <c r="L149" s="271">
        <v>0</v>
      </c>
      <c r="M149" s="273">
        <v>0</v>
      </c>
      <c r="N149" s="273">
        <v>0</v>
      </c>
      <c r="O149" s="273">
        <f t="shared" si="6"/>
        <v>0</v>
      </c>
      <c r="P149" s="37"/>
      <c r="Q149" s="273">
        <v>0</v>
      </c>
      <c r="R149" s="271">
        <v>0</v>
      </c>
      <c r="S149" s="273">
        <v>0</v>
      </c>
      <c r="T149" s="271">
        <v>0</v>
      </c>
      <c r="U149" s="271">
        <v>0</v>
      </c>
      <c r="V149" s="273">
        <v>0</v>
      </c>
      <c r="W149" s="273"/>
      <c r="X149" s="273">
        <f t="shared" si="7"/>
        <v>0</v>
      </c>
      <c r="Z149" s="63"/>
      <c r="AA149" s="289"/>
    </row>
    <row r="150" spans="1:27">
      <c r="A150" s="231">
        <v>3025</v>
      </c>
      <c r="B150" s="4">
        <v>103410</v>
      </c>
      <c r="C150" s="4" t="s">
        <v>810</v>
      </c>
      <c r="D150" s="4" t="s">
        <v>157</v>
      </c>
      <c r="E150" s="213" t="s">
        <v>5</v>
      </c>
      <c r="F150" s="248" t="s">
        <v>411</v>
      </c>
      <c r="G150" s="37"/>
      <c r="H150" s="273">
        <v>0</v>
      </c>
      <c r="I150" s="271">
        <v>0</v>
      </c>
      <c r="J150" s="273">
        <v>0</v>
      </c>
      <c r="K150" s="271">
        <v>0</v>
      </c>
      <c r="L150" s="271">
        <v>0</v>
      </c>
      <c r="M150" s="273">
        <v>0</v>
      </c>
      <c r="N150" s="273">
        <v>0</v>
      </c>
      <c r="O150" s="273">
        <f t="shared" si="6"/>
        <v>0</v>
      </c>
      <c r="P150" s="37"/>
      <c r="Q150" s="273">
        <v>0</v>
      </c>
      <c r="R150" s="271">
        <v>0</v>
      </c>
      <c r="S150" s="273">
        <v>0</v>
      </c>
      <c r="T150" s="271">
        <v>0</v>
      </c>
      <c r="U150" s="271">
        <v>0</v>
      </c>
      <c r="V150" s="273">
        <v>0</v>
      </c>
      <c r="W150" s="273"/>
      <c r="X150" s="273">
        <f t="shared" si="7"/>
        <v>0</v>
      </c>
      <c r="Z150" s="63"/>
      <c r="AA150" s="289"/>
    </row>
    <row r="151" spans="1:27">
      <c r="A151" s="231">
        <v>3346</v>
      </c>
      <c r="B151" s="4">
        <v>103439</v>
      </c>
      <c r="C151" s="4" t="s">
        <v>812</v>
      </c>
      <c r="D151" s="4" t="s">
        <v>813</v>
      </c>
      <c r="E151" s="213" t="s">
        <v>5</v>
      </c>
      <c r="F151" s="248" t="s">
        <v>411</v>
      </c>
      <c r="G151" s="37"/>
      <c r="H151" s="273">
        <v>0</v>
      </c>
      <c r="I151" s="271">
        <v>0</v>
      </c>
      <c r="J151" s="273">
        <v>0</v>
      </c>
      <c r="K151" s="271">
        <v>0</v>
      </c>
      <c r="L151" s="271">
        <v>0</v>
      </c>
      <c r="M151" s="273">
        <v>0</v>
      </c>
      <c r="N151" s="273">
        <v>0</v>
      </c>
      <c r="O151" s="273">
        <f t="shared" si="6"/>
        <v>0</v>
      </c>
      <c r="P151" s="37"/>
      <c r="Q151" s="273">
        <v>0</v>
      </c>
      <c r="R151" s="271">
        <v>0</v>
      </c>
      <c r="S151" s="273">
        <v>0</v>
      </c>
      <c r="T151" s="271">
        <v>0</v>
      </c>
      <c r="U151" s="271">
        <v>0</v>
      </c>
      <c r="V151" s="273">
        <v>0</v>
      </c>
      <c r="W151" s="273"/>
      <c r="X151" s="273">
        <f t="shared" si="7"/>
        <v>0</v>
      </c>
      <c r="Z151" s="63"/>
      <c r="AA151" s="289"/>
    </row>
    <row r="152" spans="1:27">
      <c r="A152" s="231">
        <v>3365</v>
      </c>
      <c r="B152" s="4">
        <v>103456</v>
      </c>
      <c r="C152" s="4" t="s">
        <v>815</v>
      </c>
      <c r="D152" s="4" t="s">
        <v>816</v>
      </c>
      <c r="E152" s="213" t="s">
        <v>5</v>
      </c>
      <c r="F152" s="248" t="s">
        <v>411</v>
      </c>
      <c r="G152" s="37"/>
      <c r="H152" s="273">
        <v>0</v>
      </c>
      <c r="I152" s="271">
        <v>0</v>
      </c>
      <c r="J152" s="273">
        <v>0</v>
      </c>
      <c r="K152" s="271">
        <v>0</v>
      </c>
      <c r="L152" s="271">
        <v>0</v>
      </c>
      <c r="M152" s="273">
        <v>0</v>
      </c>
      <c r="N152" s="273">
        <v>0</v>
      </c>
      <c r="O152" s="273">
        <f t="shared" si="6"/>
        <v>0</v>
      </c>
      <c r="P152" s="37"/>
      <c r="Q152" s="273">
        <v>0</v>
      </c>
      <c r="R152" s="271">
        <v>0</v>
      </c>
      <c r="S152" s="273">
        <v>0</v>
      </c>
      <c r="T152" s="271">
        <v>0</v>
      </c>
      <c r="U152" s="271">
        <v>0</v>
      </c>
      <c r="V152" s="273">
        <v>0</v>
      </c>
      <c r="W152" s="273"/>
      <c r="X152" s="273">
        <f t="shared" si="7"/>
        <v>0</v>
      </c>
      <c r="Z152" s="63"/>
      <c r="AA152" s="289"/>
    </row>
    <row r="153" spans="1:27">
      <c r="A153" s="231">
        <v>1009</v>
      </c>
      <c r="B153" s="4">
        <v>103124</v>
      </c>
      <c r="C153" s="4" t="s">
        <v>818</v>
      </c>
      <c r="D153" s="4" t="s">
        <v>819</v>
      </c>
      <c r="E153" s="213" t="s">
        <v>180</v>
      </c>
      <c r="F153" s="248" t="s">
        <v>411</v>
      </c>
      <c r="G153" s="37"/>
      <c r="H153" s="273">
        <v>284306.10000000003</v>
      </c>
      <c r="I153" s="271">
        <v>138679.20000000001</v>
      </c>
      <c r="J153" s="273">
        <v>15321.6</v>
      </c>
      <c r="K153" s="271">
        <v>4360</v>
      </c>
      <c r="L153" s="271">
        <v>8313</v>
      </c>
      <c r="M153" s="273">
        <v>275077.15666666668</v>
      </c>
      <c r="N153" s="273">
        <v>0</v>
      </c>
      <c r="O153" s="273">
        <f t="shared" si="6"/>
        <v>726057.05666666664</v>
      </c>
      <c r="P153" s="37"/>
      <c r="Q153" s="273">
        <v>260920.5</v>
      </c>
      <c r="R153" s="271">
        <v>65362.499999999993</v>
      </c>
      <c r="S153" s="273">
        <v>22391.870408163264</v>
      </c>
      <c r="T153" s="271">
        <v>14170</v>
      </c>
      <c r="U153" s="271">
        <v>15940.2</v>
      </c>
      <c r="V153" s="273">
        <v>181742.98886532342</v>
      </c>
      <c r="W153" s="273"/>
      <c r="X153" s="273">
        <f t="shared" si="7"/>
        <v>560528.05927348672</v>
      </c>
      <c r="Z153" s="63"/>
      <c r="AA153" s="289"/>
    </row>
    <row r="154" spans="1:27">
      <c r="A154" s="231">
        <v>3310</v>
      </c>
      <c r="B154" s="4">
        <v>103417</v>
      </c>
      <c r="C154" s="4" t="s">
        <v>821</v>
      </c>
      <c r="D154" s="4" t="s">
        <v>822</v>
      </c>
      <c r="E154" s="213" t="s">
        <v>5</v>
      </c>
      <c r="F154" s="248" t="s">
        <v>411</v>
      </c>
      <c r="G154" s="37"/>
      <c r="H154" s="273">
        <v>85365.000000000015</v>
      </c>
      <c r="I154" s="271">
        <v>0</v>
      </c>
      <c r="J154" s="273">
        <v>7022.4</v>
      </c>
      <c r="K154" s="271">
        <v>3052</v>
      </c>
      <c r="L154" s="271">
        <v>4855.2000000000007</v>
      </c>
      <c r="M154" s="273">
        <v>0</v>
      </c>
      <c r="N154" s="273">
        <v>0</v>
      </c>
      <c r="O154" s="273">
        <f t="shared" si="6"/>
        <v>100294.6</v>
      </c>
      <c r="P154" s="37"/>
      <c r="Q154" s="273">
        <v>66199.5</v>
      </c>
      <c r="R154" s="271">
        <v>0</v>
      </c>
      <c r="S154" s="273">
        <v>9944.3863636363621</v>
      </c>
      <c r="T154" s="271">
        <v>7630</v>
      </c>
      <c r="U154" s="271">
        <v>2901.6</v>
      </c>
      <c r="V154" s="273">
        <v>0</v>
      </c>
      <c r="W154" s="273"/>
      <c r="X154" s="273">
        <f t="shared" si="7"/>
        <v>86675.486363636373</v>
      </c>
      <c r="Z154" s="63"/>
      <c r="AA154" s="289"/>
    </row>
    <row r="155" spans="1:27">
      <c r="A155" s="231">
        <v>2067</v>
      </c>
      <c r="B155" s="4">
        <v>103196</v>
      </c>
      <c r="C155" s="4" t="s">
        <v>827</v>
      </c>
      <c r="D155" s="4" t="s">
        <v>828</v>
      </c>
      <c r="E155" s="213" t="s">
        <v>5</v>
      </c>
      <c r="F155" s="248" t="s">
        <v>411</v>
      </c>
      <c r="G155" s="37"/>
      <c r="H155" s="273">
        <v>98454.299999999988</v>
      </c>
      <c r="I155" s="271">
        <v>0</v>
      </c>
      <c r="J155" s="273">
        <v>4941.9000000000005</v>
      </c>
      <c r="K155" s="271">
        <v>0</v>
      </c>
      <c r="L155" s="271">
        <v>4120.8</v>
      </c>
      <c r="M155" s="273">
        <v>0</v>
      </c>
      <c r="N155" s="273">
        <v>0</v>
      </c>
      <c r="O155" s="273">
        <f t="shared" si="6"/>
        <v>107516.99999999999</v>
      </c>
      <c r="P155" s="37"/>
      <c r="Q155" s="273">
        <v>99334.5</v>
      </c>
      <c r="R155" s="271">
        <v>0</v>
      </c>
      <c r="S155" s="273">
        <v>9737.7749999999978</v>
      </c>
      <c r="T155" s="271">
        <v>0</v>
      </c>
      <c r="U155" s="271">
        <v>3143.4</v>
      </c>
      <c r="V155" s="273">
        <v>0</v>
      </c>
      <c r="W155" s="273"/>
      <c r="X155" s="273">
        <f t="shared" si="7"/>
        <v>112215.67499999999</v>
      </c>
      <c r="Z155" s="63"/>
      <c r="AA155" s="289"/>
    </row>
    <row r="156" spans="1:27">
      <c r="A156" s="231">
        <v>2246</v>
      </c>
      <c r="B156" s="4">
        <v>103296</v>
      </c>
      <c r="C156" s="4" t="s">
        <v>830</v>
      </c>
      <c r="D156" s="4" t="s">
        <v>831</v>
      </c>
      <c r="E156" s="213" t="s">
        <v>5</v>
      </c>
      <c r="F156" s="248" t="s">
        <v>411</v>
      </c>
      <c r="G156" s="37"/>
      <c r="H156" s="273">
        <v>0</v>
      </c>
      <c r="I156" s="271">
        <v>0</v>
      </c>
      <c r="J156" s="273">
        <v>0</v>
      </c>
      <c r="K156" s="271">
        <v>0</v>
      </c>
      <c r="L156" s="271">
        <v>0</v>
      </c>
      <c r="M156" s="273">
        <v>0</v>
      </c>
      <c r="N156" s="273">
        <v>0</v>
      </c>
      <c r="O156" s="273">
        <f t="shared" si="6"/>
        <v>0</v>
      </c>
      <c r="P156" s="37"/>
      <c r="Q156" s="273">
        <v>0</v>
      </c>
      <c r="R156" s="271">
        <v>0</v>
      </c>
      <c r="S156" s="273">
        <v>0</v>
      </c>
      <c r="T156" s="271">
        <v>0</v>
      </c>
      <c r="U156" s="271">
        <v>0</v>
      </c>
      <c r="V156" s="273">
        <v>0</v>
      </c>
      <c r="W156" s="273"/>
      <c r="X156" s="273">
        <f t="shared" si="7"/>
        <v>0</v>
      </c>
      <c r="Z156" s="63"/>
      <c r="AA156" s="289"/>
    </row>
    <row r="157" spans="1:27">
      <c r="A157" s="231">
        <v>2192</v>
      </c>
      <c r="B157" s="4">
        <v>103268</v>
      </c>
      <c r="C157" s="4" t="s">
        <v>833</v>
      </c>
      <c r="D157" s="4" t="s">
        <v>834</v>
      </c>
      <c r="E157" s="213" t="s">
        <v>5</v>
      </c>
      <c r="F157" s="248" t="s">
        <v>411</v>
      </c>
      <c r="G157" s="37"/>
      <c r="H157" s="273">
        <v>0</v>
      </c>
      <c r="I157" s="271">
        <v>0</v>
      </c>
      <c r="J157" s="273">
        <v>0</v>
      </c>
      <c r="K157" s="271">
        <v>0</v>
      </c>
      <c r="L157" s="271">
        <v>0</v>
      </c>
      <c r="M157" s="273">
        <v>0</v>
      </c>
      <c r="N157" s="273">
        <v>0</v>
      </c>
      <c r="O157" s="273">
        <f t="shared" si="6"/>
        <v>0</v>
      </c>
      <c r="P157" s="37"/>
      <c r="Q157" s="273">
        <v>0</v>
      </c>
      <c r="R157" s="271">
        <v>0</v>
      </c>
      <c r="S157" s="273">
        <v>0</v>
      </c>
      <c r="T157" s="271">
        <v>0</v>
      </c>
      <c r="U157" s="271">
        <v>0</v>
      </c>
      <c r="V157" s="273">
        <v>0</v>
      </c>
      <c r="W157" s="273"/>
      <c r="X157" s="273">
        <f t="shared" si="7"/>
        <v>0</v>
      </c>
      <c r="Z157" s="63"/>
      <c r="AA157" s="289"/>
    </row>
    <row r="158" spans="1:27">
      <c r="A158" s="231">
        <v>2108</v>
      </c>
      <c r="B158" s="4">
        <v>103217</v>
      </c>
      <c r="C158" s="4" t="s">
        <v>836</v>
      </c>
      <c r="D158" s="4" t="s">
        <v>837</v>
      </c>
      <c r="E158" s="213" t="s">
        <v>5</v>
      </c>
      <c r="F158" s="248" t="s">
        <v>411</v>
      </c>
      <c r="G158" s="37"/>
      <c r="H158" s="273">
        <v>159673.20000000001</v>
      </c>
      <c r="I158" s="271">
        <v>0</v>
      </c>
      <c r="J158" s="273">
        <v>6948.2999999999993</v>
      </c>
      <c r="K158" s="271">
        <v>0</v>
      </c>
      <c r="L158" s="271">
        <v>1234.2000000000003</v>
      </c>
      <c r="M158" s="273">
        <v>0</v>
      </c>
      <c r="N158" s="273">
        <v>0</v>
      </c>
      <c r="O158" s="273">
        <f t="shared" si="6"/>
        <v>167855.7</v>
      </c>
      <c r="P158" s="37"/>
      <c r="Q158" s="273">
        <v>137545.5</v>
      </c>
      <c r="R158" s="271">
        <v>0</v>
      </c>
      <c r="S158" s="273">
        <v>10062.978358208955</v>
      </c>
      <c r="T158" s="271">
        <v>0</v>
      </c>
      <c r="U158" s="271">
        <v>2659.8</v>
      </c>
      <c r="V158" s="273">
        <v>0</v>
      </c>
      <c r="W158" s="273"/>
      <c r="X158" s="273">
        <f t="shared" si="7"/>
        <v>150268.27835820895</v>
      </c>
      <c r="Z158" s="63"/>
      <c r="AA158" s="289"/>
    </row>
    <row r="159" spans="1:27">
      <c r="A159" s="231">
        <v>1020</v>
      </c>
      <c r="B159" s="4">
        <v>103133</v>
      </c>
      <c r="C159" s="4" t="s">
        <v>839</v>
      </c>
      <c r="D159" s="4" t="s">
        <v>840</v>
      </c>
      <c r="E159" s="213" t="s">
        <v>180</v>
      </c>
      <c r="F159" s="248" t="s">
        <v>411</v>
      </c>
      <c r="G159" s="37"/>
      <c r="H159" s="273">
        <v>401865.9</v>
      </c>
      <c r="I159" s="271">
        <v>267444</v>
      </c>
      <c r="J159" s="273">
        <v>18479.400000000001</v>
      </c>
      <c r="K159" s="271">
        <v>10900</v>
      </c>
      <c r="L159" s="271">
        <v>19206.600000000002</v>
      </c>
      <c r="M159" s="273">
        <v>371660.36000000004</v>
      </c>
      <c r="N159" s="273">
        <v>2730</v>
      </c>
      <c r="O159" s="273">
        <f t="shared" si="6"/>
        <v>1092286.26</v>
      </c>
      <c r="P159" s="37"/>
      <c r="Q159" s="273">
        <v>374115.3</v>
      </c>
      <c r="R159" s="271">
        <v>141705.9</v>
      </c>
      <c r="S159" s="273">
        <v>30053.087430167598</v>
      </c>
      <c r="T159" s="271">
        <v>35970</v>
      </c>
      <c r="U159" s="271">
        <v>20432.099999999999</v>
      </c>
      <c r="V159" s="273">
        <v>262453.79003181332</v>
      </c>
      <c r="W159" s="273"/>
      <c r="X159" s="273">
        <f t="shared" si="7"/>
        <v>864730.17746198084</v>
      </c>
      <c r="Z159" s="63"/>
      <c r="AA159" s="289"/>
    </row>
    <row r="160" spans="1:27">
      <c r="A160" s="231">
        <v>1014</v>
      </c>
      <c r="B160" s="4">
        <v>103127</v>
      </c>
      <c r="C160" s="4" t="s">
        <v>842</v>
      </c>
      <c r="D160" s="4" t="s">
        <v>843</v>
      </c>
      <c r="E160" s="213" t="s">
        <v>180</v>
      </c>
      <c r="F160" s="248" t="s">
        <v>411</v>
      </c>
      <c r="G160" s="37"/>
      <c r="H160" s="273">
        <v>356419.2</v>
      </c>
      <c r="I160" s="271">
        <v>109792.8</v>
      </c>
      <c r="J160" s="273">
        <v>18080.400000000001</v>
      </c>
      <c r="K160" s="271">
        <v>8284</v>
      </c>
      <c r="L160" s="271">
        <v>21675</v>
      </c>
      <c r="M160" s="273">
        <v>237635.21000000002</v>
      </c>
      <c r="N160" s="273">
        <v>5460</v>
      </c>
      <c r="O160" s="273">
        <f t="shared" si="6"/>
        <v>757346.6100000001</v>
      </c>
      <c r="P160" s="37"/>
      <c r="Q160" s="273">
        <v>294196.5</v>
      </c>
      <c r="R160" s="271">
        <v>84971.25</v>
      </c>
      <c r="S160" s="273">
        <v>24337.460869565217</v>
      </c>
      <c r="T160" s="271">
        <v>17985</v>
      </c>
      <c r="U160" s="271">
        <v>13894.2</v>
      </c>
      <c r="V160" s="273">
        <v>192808.17934782605</v>
      </c>
      <c r="W160" s="273"/>
      <c r="X160" s="273">
        <f t="shared" si="7"/>
        <v>628192.59021739126</v>
      </c>
      <c r="Z160" s="63"/>
      <c r="AA160" s="289"/>
    </row>
    <row r="161" spans="1:27">
      <c r="A161" s="231">
        <v>2019</v>
      </c>
      <c r="B161" s="4">
        <v>134279</v>
      </c>
      <c r="C161" s="4" t="s">
        <v>845</v>
      </c>
      <c r="D161" s="4" t="s">
        <v>846</v>
      </c>
      <c r="E161" s="213" t="s">
        <v>5</v>
      </c>
      <c r="F161" s="248" t="s">
        <v>411</v>
      </c>
      <c r="G161" s="37"/>
      <c r="H161" s="273">
        <v>0</v>
      </c>
      <c r="I161" s="271">
        <v>0</v>
      </c>
      <c r="J161" s="273">
        <v>0</v>
      </c>
      <c r="K161" s="271">
        <v>0</v>
      </c>
      <c r="L161" s="271">
        <v>0</v>
      </c>
      <c r="M161" s="273">
        <v>0</v>
      </c>
      <c r="N161" s="273">
        <v>0</v>
      </c>
      <c r="O161" s="273">
        <f t="shared" si="6"/>
        <v>0</v>
      </c>
      <c r="P161" s="37"/>
      <c r="Q161" s="273">
        <v>0</v>
      </c>
      <c r="R161" s="271">
        <v>0</v>
      </c>
      <c r="S161" s="273">
        <v>0</v>
      </c>
      <c r="T161" s="271">
        <v>0</v>
      </c>
      <c r="U161" s="271">
        <v>0</v>
      </c>
      <c r="V161" s="273">
        <v>0</v>
      </c>
      <c r="W161" s="273"/>
      <c r="X161" s="273">
        <f t="shared" si="7"/>
        <v>0</v>
      </c>
      <c r="Z161" s="63"/>
      <c r="AA161" s="289"/>
    </row>
    <row r="162" spans="1:27">
      <c r="A162" s="231">
        <v>2314</v>
      </c>
      <c r="B162" s="4">
        <v>103334</v>
      </c>
      <c r="C162" s="4" t="s">
        <v>848</v>
      </c>
      <c r="D162" s="4" t="s">
        <v>849</v>
      </c>
      <c r="E162" s="213" t="s">
        <v>5</v>
      </c>
      <c r="F162" s="248" t="s">
        <v>411</v>
      </c>
      <c r="G162" s="37"/>
      <c r="H162" s="273">
        <v>0</v>
      </c>
      <c r="I162" s="271">
        <v>0</v>
      </c>
      <c r="J162" s="273">
        <v>0</v>
      </c>
      <c r="K162" s="271">
        <v>0</v>
      </c>
      <c r="L162" s="271">
        <v>0</v>
      </c>
      <c r="M162" s="273">
        <v>0</v>
      </c>
      <c r="N162" s="273">
        <v>0</v>
      </c>
      <c r="O162" s="273">
        <f t="shared" si="6"/>
        <v>0</v>
      </c>
      <c r="P162" s="37"/>
      <c r="Q162" s="273">
        <v>0</v>
      </c>
      <c r="R162" s="271">
        <v>0</v>
      </c>
      <c r="S162" s="273">
        <v>0</v>
      </c>
      <c r="T162" s="271">
        <v>0</v>
      </c>
      <c r="U162" s="271">
        <v>0</v>
      </c>
      <c r="V162" s="273">
        <v>0</v>
      </c>
      <c r="W162" s="273"/>
      <c r="X162" s="273">
        <f t="shared" si="7"/>
        <v>0</v>
      </c>
      <c r="Z162" s="63"/>
      <c r="AA162" s="289"/>
    </row>
    <row r="163" spans="1:27">
      <c r="A163" s="231">
        <v>2227</v>
      </c>
      <c r="B163" s="4">
        <v>103281</v>
      </c>
      <c r="C163" s="4" t="s">
        <v>851</v>
      </c>
      <c r="D163" s="4" t="s">
        <v>852</v>
      </c>
      <c r="E163" s="213" t="s">
        <v>5</v>
      </c>
      <c r="F163" s="248" t="s">
        <v>411</v>
      </c>
      <c r="G163" s="37"/>
      <c r="H163" s="273">
        <v>179591.7</v>
      </c>
      <c r="I163" s="271">
        <v>0</v>
      </c>
      <c r="J163" s="273">
        <v>9593.1</v>
      </c>
      <c r="K163" s="271">
        <v>5014</v>
      </c>
      <c r="L163" s="271">
        <v>8945.4000000000015</v>
      </c>
      <c r="M163" s="273">
        <v>0</v>
      </c>
      <c r="N163" s="273">
        <v>0</v>
      </c>
      <c r="O163" s="273">
        <f t="shared" si="6"/>
        <v>203144.2</v>
      </c>
      <c r="P163" s="37"/>
      <c r="Q163" s="273">
        <v>145582.5</v>
      </c>
      <c r="R163" s="271">
        <v>0</v>
      </c>
      <c r="S163" s="273">
        <v>10822.804054054053</v>
      </c>
      <c r="T163" s="271">
        <v>11445</v>
      </c>
      <c r="U163" s="271">
        <v>3747.9</v>
      </c>
      <c r="V163" s="273">
        <v>0</v>
      </c>
      <c r="W163" s="273"/>
      <c r="X163" s="273">
        <f t="shared" si="7"/>
        <v>171598.20405405405</v>
      </c>
      <c r="Z163" s="63"/>
      <c r="AA163" s="289"/>
    </row>
    <row r="164" spans="1:27">
      <c r="A164" s="231">
        <v>2231</v>
      </c>
      <c r="B164" s="4">
        <v>103284</v>
      </c>
      <c r="C164" s="4" t="s">
        <v>854</v>
      </c>
      <c r="D164" s="4" t="s">
        <v>855</v>
      </c>
      <c r="E164" s="213" t="s">
        <v>5</v>
      </c>
      <c r="F164" s="248" t="s">
        <v>411</v>
      </c>
      <c r="G164" s="37"/>
      <c r="H164" s="273">
        <v>109836.3</v>
      </c>
      <c r="I164" s="271">
        <v>0</v>
      </c>
      <c r="J164" s="273">
        <v>1105.8</v>
      </c>
      <c r="K164" s="271">
        <v>0</v>
      </c>
      <c r="L164" s="271">
        <v>3100.8</v>
      </c>
      <c r="M164" s="273">
        <v>0</v>
      </c>
      <c r="N164" s="273">
        <v>0</v>
      </c>
      <c r="O164" s="273">
        <f t="shared" si="6"/>
        <v>114042.90000000001</v>
      </c>
      <c r="P164" s="37"/>
      <c r="Q164" s="273">
        <v>116113.5</v>
      </c>
      <c r="R164" s="271">
        <v>0</v>
      </c>
      <c r="S164" s="273">
        <v>1720.9459459459463</v>
      </c>
      <c r="T164" s="271">
        <v>545</v>
      </c>
      <c r="U164" s="271">
        <v>2780.7</v>
      </c>
      <c r="V164" s="273">
        <v>0</v>
      </c>
      <c r="W164" s="273"/>
      <c r="X164" s="273">
        <f t="shared" si="7"/>
        <v>121160.14594594594</v>
      </c>
      <c r="Z164" s="63"/>
      <c r="AA164" s="289"/>
    </row>
    <row r="165" spans="1:27">
      <c r="A165" s="231">
        <v>2153</v>
      </c>
      <c r="B165" s="4">
        <v>103243</v>
      </c>
      <c r="C165" s="4" t="s">
        <v>414</v>
      </c>
      <c r="D165" s="4" t="s">
        <v>416</v>
      </c>
      <c r="E165" s="213" t="s">
        <v>5</v>
      </c>
      <c r="F165" s="248" t="s">
        <v>415</v>
      </c>
      <c r="G165" s="37"/>
      <c r="H165" s="273">
        <v>0</v>
      </c>
      <c r="I165" s="271">
        <v>0</v>
      </c>
      <c r="J165" s="273">
        <v>0</v>
      </c>
      <c r="K165" s="271">
        <v>0</v>
      </c>
      <c r="L165" s="271">
        <v>0</v>
      </c>
      <c r="M165" s="273">
        <v>0</v>
      </c>
      <c r="N165" s="273">
        <v>0</v>
      </c>
      <c r="O165" s="273">
        <f t="shared" si="6"/>
        <v>0</v>
      </c>
      <c r="P165" s="37"/>
      <c r="Q165" s="273">
        <v>0</v>
      </c>
      <c r="R165" s="271">
        <v>0</v>
      </c>
      <c r="S165" s="273">
        <v>0</v>
      </c>
      <c r="T165" s="271">
        <v>0</v>
      </c>
      <c r="U165" s="271">
        <v>0</v>
      </c>
      <c r="V165" s="273">
        <v>0</v>
      </c>
      <c r="W165" s="273"/>
      <c r="X165" s="273">
        <f t="shared" si="7"/>
        <v>0</v>
      </c>
      <c r="Z165" s="63"/>
      <c r="AA165" s="289"/>
    </row>
    <row r="166" spans="1:27">
      <c r="A166" s="231">
        <v>2479</v>
      </c>
      <c r="B166" s="4">
        <v>132074</v>
      </c>
      <c r="C166" s="4" t="s">
        <v>418</v>
      </c>
      <c r="D166" s="4" t="s">
        <v>419</v>
      </c>
      <c r="E166" s="213" t="s">
        <v>5</v>
      </c>
      <c r="F166" s="248" t="s">
        <v>415</v>
      </c>
      <c r="G166" s="37"/>
      <c r="H166" s="273">
        <v>237802.49999999997</v>
      </c>
      <c r="I166" s="271">
        <v>0</v>
      </c>
      <c r="J166" s="273">
        <v>16011.3</v>
      </c>
      <c r="K166" s="271">
        <v>3052</v>
      </c>
      <c r="L166" s="271">
        <v>4365.6000000000004</v>
      </c>
      <c r="M166" s="273">
        <v>0</v>
      </c>
      <c r="N166" s="273">
        <v>0</v>
      </c>
      <c r="O166" s="273">
        <f t="shared" si="6"/>
        <v>261231.39999999997</v>
      </c>
      <c r="P166" s="37"/>
      <c r="Q166" s="273">
        <v>223344</v>
      </c>
      <c r="R166" s="271">
        <v>2265.8999999999996</v>
      </c>
      <c r="S166" s="273">
        <v>20356.327215189871</v>
      </c>
      <c r="T166" s="271">
        <v>7630</v>
      </c>
      <c r="U166" s="271">
        <v>2659.8</v>
      </c>
      <c r="V166" s="273">
        <v>0</v>
      </c>
      <c r="W166" s="273"/>
      <c r="X166" s="273">
        <f t="shared" si="7"/>
        <v>256256.02721518985</v>
      </c>
      <c r="Z166" s="63"/>
      <c r="AA166" s="289"/>
    </row>
    <row r="167" spans="1:27">
      <c r="A167" s="231">
        <v>2239</v>
      </c>
      <c r="B167" s="4">
        <v>103289</v>
      </c>
      <c r="C167" s="4" t="s">
        <v>421</v>
      </c>
      <c r="D167" s="4" t="s">
        <v>422</v>
      </c>
      <c r="E167" s="213" t="s">
        <v>5</v>
      </c>
      <c r="F167" s="248" t="s">
        <v>415</v>
      </c>
      <c r="G167" s="37"/>
      <c r="H167" s="273">
        <v>106015.20000000001</v>
      </c>
      <c r="I167" s="271">
        <v>0</v>
      </c>
      <c r="J167" s="273">
        <v>4200.9000000000005</v>
      </c>
      <c r="K167" s="271">
        <v>2398</v>
      </c>
      <c r="L167" s="271">
        <v>4018.8</v>
      </c>
      <c r="M167" s="273">
        <v>0</v>
      </c>
      <c r="N167" s="273">
        <v>0</v>
      </c>
      <c r="O167" s="273">
        <f t="shared" si="6"/>
        <v>116632.90000000001</v>
      </c>
      <c r="P167" s="37"/>
      <c r="Q167" s="273">
        <v>62040</v>
      </c>
      <c r="R167" s="271">
        <v>0</v>
      </c>
      <c r="S167" s="273">
        <v>4277.9999999999991</v>
      </c>
      <c r="T167" s="271">
        <v>0</v>
      </c>
      <c r="U167" s="271">
        <v>1813.5</v>
      </c>
      <c r="V167" s="273">
        <v>0</v>
      </c>
      <c r="W167" s="273"/>
      <c r="X167" s="273">
        <f t="shared" si="7"/>
        <v>68131.5</v>
      </c>
      <c r="Z167" s="63"/>
      <c r="AA167" s="289"/>
    </row>
    <row r="168" spans="1:27">
      <c r="A168" s="231">
        <v>2435</v>
      </c>
      <c r="B168" s="4">
        <v>103362</v>
      </c>
      <c r="C168" s="4" t="s">
        <v>424</v>
      </c>
      <c r="D168" s="4" t="s">
        <v>425</v>
      </c>
      <c r="E168" s="213" t="s">
        <v>5</v>
      </c>
      <c r="F168" s="248" t="s">
        <v>415</v>
      </c>
      <c r="G168" s="37"/>
      <c r="H168" s="273">
        <v>60893.7</v>
      </c>
      <c r="I168" s="271">
        <v>0</v>
      </c>
      <c r="J168" s="273">
        <v>5859.6</v>
      </c>
      <c r="K168" s="271">
        <v>0</v>
      </c>
      <c r="L168" s="271">
        <v>2121.6000000000004</v>
      </c>
      <c r="M168" s="273">
        <v>0</v>
      </c>
      <c r="N168" s="273">
        <v>0</v>
      </c>
      <c r="O168" s="273">
        <f t="shared" si="6"/>
        <v>68874.900000000009</v>
      </c>
      <c r="P168" s="37"/>
      <c r="Q168" s="273">
        <v>64578</v>
      </c>
      <c r="R168" s="271">
        <v>0</v>
      </c>
      <c r="S168" s="273">
        <v>7911.375</v>
      </c>
      <c r="T168" s="271">
        <v>0</v>
      </c>
      <c r="U168" s="271">
        <v>2780.7</v>
      </c>
      <c r="V168" s="273">
        <v>0</v>
      </c>
      <c r="W168" s="273"/>
      <c r="X168" s="273">
        <f t="shared" si="7"/>
        <v>75270.074999999997</v>
      </c>
      <c r="Z168" s="63"/>
      <c r="AA168" s="289"/>
    </row>
    <row r="169" spans="1:27">
      <c r="A169" s="231">
        <v>1001</v>
      </c>
      <c r="B169" s="4">
        <v>103120</v>
      </c>
      <c r="C169" s="4" t="s">
        <v>427</v>
      </c>
      <c r="D169" s="4" t="s">
        <v>428</v>
      </c>
      <c r="E169" s="213" t="s">
        <v>180</v>
      </c>
      <c r="F169" s="248" t="s">
        <v>415</v>
      </c>
      <c r="G169" s="37"/>
      <c r="H169" s="273">
        <v>244143.89999999997</v>
      </c>
      <c r="I169" s="271">
        <v>88740</v>
      </c>
      <c r="J169" s="273">
        <v>7016.7000000000007</v>
      </c>
      <c r="K169" s="271">
        <v>436</v>
      </c>
      <c r="L169" s="271">
        <v>6548.4000000000005</v>
      </c>
      <c r="M169" s="273">
        <v>174664.66333333333</v>
      </c>
      <c r="N169" s="273">
        <v>3640</v>
      </c>
      <c r="O169" s="273">
        <f t="shared" si="6"/>
        <v>525189.66333333333</v>
      </c>
      <c r="P169" s="37"/>
      <c r="Q169" s="273">
        <v>221722.5</v>
      </c>
      <c r="R169" s="271">
        <v>69545.7</v>
      </c>
      <c r="S169" s="273">
        <v>7767.9</v>
      </c>
      <c r="T169" s="271">
        <v>1635</v>
      </c>
      <c r="U169" s="271">
        <v>11429.7</v>
      </c>
      <c r="V169" s="273">
        <v>149849.20453340403</v>
      </c>
      <c r="W169" s="273"/>
      <c r="X169" s="273">
        <f t="shared" si="7"/>
        <v>461950.00453340408</v>
      </c>
      <c r="Z169" s="63"/>
      <c r="AA169" s="289"/>
    </row>
    <row r="170" spans="1:27">
      <c r="A170" s="231">
        <v>7030</v>
      </c>
      <c r="B170" s="4">
        <v>103611</v>
      </c>
      <c r="C170" s="4" t="s">
        <v>430</v>
      </c>
      <c r="D170" s="4" t="s">
        <v>431</v>
      </c>
      <c r="E170" s="213" t="s">
        <v>1093</v>
      </c>
      <c r="F170" s="248" t="s">
        <v>415</v>
      </c>
      <c r="G170" s="37"/>
      <c r="H170" s="273">
        <v>0</v>
      </c>
      <c r="I170" s="271">
        <v>0</v>
      </c>
      <c r="J170" s="273">
        <v>0</v>
      </c>
      <c r="K170" s="271">
        <v>0</v>
      </c>
      <c r="L170" s="271">
        <v>0</v>
      </c>
      <c r="M170" s="273">
        <v>0</v>
      </c>
      <c r="N170" s="273">
        <v>0</v>
      </c>
      <c r="O170" s="273">
        <f t="shared" si="6"/>
        <v>0</v>
      </c>
      <c r="P170" s="37"/>
      <c r="Q170" s="273">
        <v>0</v>
      </c>
      <c r="R170" s="271">
        <v>0</v>
      </c>
      <c r="S170" s="273">
        <v>0</v>
      </c>
      <c r="T170" s="271">
        <v>0</v>
      </c>
      <c r="U170" s="271">
        <v>0</v>
      </c>
      <c r="V170" s="273">
        <v>0</v>
      </c>
      <c r="W170" s="273"/>
      <c r="X170" s="273">
        <f t="shared" si="7"/>
        <v>0</v>
      </c>
      <c r="Z170" s="63"/>
      <c r="AA170" s="289"/>
    </row>
    <row r="171" spans="1:27">
      <c r="A171" s="231">
        <v>2465</v>
      </c>
      <c r="B171" s="4">
        <v>103391</v>
      </c>
      <c r="C171" s="4" t="s">
        <v>433</v>
      </c>
      <c r="D171" s="4" t="s">
        <v>434</v>
      </c>
      <c r="E171" s="213" t="s">
        <v>5</v>
      </c>
      <c r="F171" s="248" t="s">
        <v>415</v>
      </c>
      <c r="G171" s="37"/>
      <c r="H171" s="273">
        <v>122356.5</v>
      </c>
      <c r="I171" s="271">
        <v>0</v>
      </c>
      <c r="J171" s="273">
        <v>330.59999999999997</v>
      </c>
      <c r="K171" s="271">
        <v>0</v>
      </c>
      <c r="L171" s="271">
        <v>2029.8000000000002</v>
      </c>
      <c r="M171" s="273">
        <v>0</v>
      </c>
      <c r="N171" s="273">
        <v>0</v>
      </c>
      <c r="O171" s="273">
        <f t="shared" si="6"/>
        <v>124716.90000000001</v>
      </c>
      <c r="P171" s="37"/>
      <c r="Q171" s="273">
        <v>103423.5</v>
      </c>
      <c r="R171" s="271">
        <v>0</v>
      </c>
      <c r="S171" s="273">
        <v>0</v>
      </c>
      <c r="T171" s="271">
        <v>0</v>
      </c>
      <c r="U171" s="271">
        <v>2538.9</v>
      </c>
      <c r="V171" s="273">
        <v>0</v>
      </c>
      <c r="W171" s="273"/>
      <c r="X171" s="273">
        <f t="shared" si="7"/>
        <v>105962.4</v>
      </c>
      <c r="Z171" s="63"/>
      <c r="AA171" s="289"/>
    </row>
    <row r="172" spans="1:27">
      <c r="A172" s="231">
        <v>2040</v>
      </c>
      <c r="B172" s="4">
        <v>103178</v>
      </c>
      <c r="C172" s="4" t="s">
        <v>436</v>
      </c>
      <c r="D172" s="4" t="s">
        <v>437</v>
      </c>
      <c r="E172" s="213" t="s">
        <v>5</v>
      </c>
      <c r="F172" s="248" t="s">
        <v>415</v>
      </c>
      <c r="G172" s="37"/>
      <c r="H172" s="273">
        <v>82844.7</v>
      </c>
      <c r="I172" s="271">
        <v>0</v>
      </c>
      <c r="J172" s="273">
        <v>165.29999999999998</v>
      </c>
      <c r="K172" s="271">
        <v>0</v>
      </c>
      <c r="L172" s="271">
        <v>1020.0000000000001</v>
      </c>
      <c r="M172" s="273">
        <v>0</v>
      </c>
      <c r="N172" s="273">
        <v>0</v>
      </c>
      <c r="O172" s="273">
        <f t="shared" si="6"/>
        <v>84030</v>
      </c>
      <c r="P172" s="37"/>
      <c r="Q172" s="273">
        <v>78396</v>
      </c>
      <c r="R172" s="271">
        <v>0</v>
      </c>
      <c r="S172" s="273">
        <v>458.54666666666662</v>
      </c>
      <c r="T172" s="271">
        <v>0</v>
      </c>
      <c r="U172" s="271">
        <v>483.6</v>
      </c>
      <c r="V172" s="273">
        <v>0</v>
      </c>
      <c r="W172" s="273"/>
      <c r="X172" s="273">
        <f t="shared" si="7"/>
        <v>79338.146666666667</v>
      </c>
      <c r="Z172" s="63"/>
      <c r="AA172" s="289"/>
    </row>
    <row r="173" spans="1:27">
      <c r="A173" s="231">
        <v>1100</v>
      </c>
      <c r="B173" s="4">
        <v>103146</v>
      </c>
      <c r="C173" s="4" t="s">
        <v>439</v>
      </c>
      <c r="D173" s="4" t="s">
        <v>440</v>
      </c>
      <c r="E173" s="213" t="s">
        <v>1094</v>
      </c>
      <c r="F173" s="248" t="s">
        <v>415</v>
      </c>
      <c r="G173" s="37"/>
      <c r="H173" s="273">
        <v>0</v>
      </c>
      <c r="I173" s="271">
        <v>0</v>
      </c>
      <c r="J173" s="273">
        <v>0</v>
      </c>
      <c r="K173" s="271">
        <v>0</v>
      </c>
      <c r="L173" s="271">
        <v>0</v>
      </c>
      <c r="M173" s="273">
        <v>0</v>
      </c>
      <c r="N173" s="273">
        <v>0</v>
      </c>
      <c r="O173" s="273">
        <f t="shared" si="6"/>
        <v>0</v>
      </c>
      <c r="P173" s="37"/>
      <c r="Q173" s="273">
        <v>0</v>
      </c>
      <c r="R173" s="271">
        <v>0</v>
      </c>
      <c r="S173" s="273">
        <v>0</v>
      </c>
      <c r="T173" s="271">
        <v>0</v>
      </c>
      <c r="U173" s="271">
        <v>0</v>
      </c>
      <c r="V173" s="273">
        <v>0</v>
      </c>
      <c r="W173" s="273"/>
      <c r="X173" s="273">
        <f t="shared" si="7"/>
        <v>0</v>
      </c>
      <c r="Z173" s="63"/>
      <c r="AA173" s="289"/>
    </row>
    <row r="174" spans="1:27">
      <c r="A174" s="231">
        <v>3432</v>
      </c>
      <c r="B174" s="4">
        <v>134840</v>
      </c>
      <c r="C174" s="4" t="s">
        <v>442</v>
      </c>
      <c r="D174" s="4" t="s">
        <v>443</v>
      </c>
      <c r="E174" s="213" t="s">
        <v>5</v>
      </c>
      <c r="F174" s="248" t="s">
        <v>415</v>
      </c>
      <c r="G174" s="37"/>
      <c r="H174" s="273">
        <v>247721.10000000003</v>
      </c>
      <c r="I174" s="271">
        <v>0</v>
      </c>
      <c r="J174" s="273">
        <v>13007.400000000001</v>
      </c>
      <c r="K174" s="271">
        <v>654</v>
      </c>
      <c r="L174" s="271">
        <v>9271.8000000000011</v>
      </c>
      <c r="M174" s="273">
        <v>0</v>
      </c>
      <c r="N174" s="273">
        <v>4550</v>
      </c>
      <c r="O174" s="273">
        <f t="shared" si="6"/>
        <v>275204.30000000005</v>
      </c>
      <c r="P174" s="37"/>
      <c r="Q174" s="273">
        <v>199021.5</v>
      </c>
      <c r="R174" s="271">
        <v>0</v>
      </c>
      <c r="S174" s="273">
        <v>22571.777027027027</v>
      </c>
      <c r="T174" s="271">
        <v>1090</v>
      </c>
      <c r="U174" s="271">
        <v>3747.9</v>
      </c>
      <c r="V174" s="273">
        <v>0</v>
      </c>
      <c r="W174" s="273"/>
      <c r="X174" s="273">
        <f t="shared" si="7"/>
        <v>226431.17702702704</v>
      </c>
      <c r="Z174" s="63"/>
      <c r="AA174" s="289"/>
    </row>
    <row r="175" spans="1:27">
      <c r="A175" s="231">
        <v>2185</v>
      </c>
      <c r="B175" s="4">
        <v>103263</v>
      </c>
      <c r="C175" s="4" t="s">
        <v>445</v>
      </c>
      <c r="D175" s="4" t="s">
        <v>446</v>
      </c>
      <c r="E175" s="213" t="s">
        <v>5</v>
      </c>
      <c r="F175" s="248" t="s">
        <v>415</v>
      </c>
      <c r="G175" s="37"/>
      <c r="H175" s="273">
        <v>156746.4</v>
      </c>
      <c r="I175" s="271">
        <v>0</v>
      </c>
      <c r="J175" s="273">
        <v>421.79999999999995</v>
      </c>
      <c r="K175" s="271">
        <v>218</v>
      </c>
      <c r="L175" s="271">
        <v>2468.4</v>
      </c>
      <c r="M175" s="273">
        <v>0</v>
      </c>
      <c r="N175" s="273">
        <v>0</v>
      </c>
      <c r="O175" s="273">
        <f t="shared" si="6"/>
        <v>159854.59999999998</v>
      </c>
      <c r="P175" s="37"/>
      <c r="Q175" s="273">
        <v>137404.5</v>
      </c>
      <c r="R175" s="271">
        <v>0</v>
      </c>
      <c r="S175" s="273">
        <v>479.09999999999991</v>
      </c>
      <c r="T175" s="271">
        <v>0</v>
      </c>
      <c r="U175" s="271">
        <v>1088.0999999999999</v>
      </c>
      <c r="V175" s="273">
        <v>0</v>
      </c>
      <c r="W175" s="273"/>
      <c r="X175" s="273">
        <f t="shared" si="7"/>
        <v>138971.70000000001</v>
      </c>
      <c r="Z175" s="63"/>
      <c r="AA175" s="289"/>
    </row>
    <row r="176" spans="1:27">
      <c r="A176" s="231">
        <v>2464</v>
      </c>
      <c r="B176" s="4">
        <v>103390</v>
      </c>
      <c r="C176" s="4" t="s">
        <v>448</v>
      </c>
      <c r="D176" s="4" t="s">
        <v>449</v>
      </c>
      <c r="E176" s="213" t="s">
        <v>5</v>
      </c>
      <c r="F176" s="248" t="s">
        <v>415</v>
      </c>
      <c r="G176" s="37"/>
      <c r="H176" s="273">
        <v>0</v>
      </c>
      <c r="I176" s="271">
        <v>0</v>
      </c>
      <c r="J176" s="273">
        <v>0</v>
      </c>
      <c r="K176" s="271">
        <v>0</v>
      </c>
      <c r="L176" s="271">
        <v>0</v>
      </c>
      <c r="M176" s="273">
        <v>0</v>
      </c>
      <c r="N176" s="273">
        <v>0</v>
      </c>
      <c r="O176" s="273">
        <f t="shared" si="6"/>
        <v>0</v>
      </c>
      <c r="P176" s="37"/>
      <c r="Q176" s="273">
        <v>0</v>
      </c>
      <c r="R176" s="271">
        <v>0</v>
      </c>
      <c r="S176" s="273">
        <v>0</v>
      </c>
      <c r="T176" s="271">
        <v>0</v>
      </c>
      <c r="U176" s="271">
        <v>0</v>
      </c>
      <c r="V176" s="273">
        <v>0</v>
      </c>
      <c r="W176" s="273"/>
      <c r="X176" s="273">
        <f t="shared" si="7"/>
        <v>0</v>
      </c>
      <c r="Z176" s="63"/>
      <c r="AA176" s="289"/>
    </row>
    <row r="177" spans="1:27">
      <c r="A177" s="231">
        <v>2454</v>
      </c>
      <c r="B177" s="4">
        <v>103381</v>
      </c>
      <c r="C177" s="4" t="s">
        <v>454</v>
      </c>
      <c r="D177" s="4" t="s">
        <v>455</v>
      </c>
      <c r="E177" s="213" t="s">
        <v>5</v>
      </c>
      <c r="F177" s="248" t="s">
        <v>415</v>
      </c>
      <c r="G177" s="37"/>
      <c r="H177" s="273">
        <v>140567.69999999998</v>
      </c>
      <c r="I177" s="271">
        <v>0</v>
      </c>
      <c r="J177" s="273">
        <v>7997.1</v>
      </c>
      <c r="K177" s="271">
        <v>3052</v>
      </c>
      <c r="L177" s="271">
        <v>3712.8</v>
      </c>
      <c r="M177" s="273">
        <v>0</v>
      </c>
      <c r="N177" s="273">
        <v>0</v>
      </c>
      <c r="O177" s="273">
        <f t="shared" si="6"/>
        <v>155329.59999999998</v>
      </c>
      <c r="P177" s="37"/>
      <c r="Q177" s="273">
        <v>81498</v>
      </c>
      <c r="R177" s="271">
        <v>0</v>
      </c>
      <c r="S177" s="273">
        <v>10256.460000000001</v>
      </c>
      <c r="T177" s="271">
        <v>5995</v>
      </c>
      <c r="U177" s="271">
        <v>1692.6</v>
      </c>
      <c r="V177" s="273">
        <v>0</v>
      </c>
      <c r="W177" s="273"/>
      <c r="X177" s="273">
        <f t="shared" si="7"/>
        <v>99442.060000000012</v>
      </c>
      <c r="Z177" s="63"/>
      <c r="AA177" s="289"/>
    </row>
    <row r="178" spans="1:27">
      <c r="A178" s="231">
        <v>3321</v>
      </c>
      <c r="B178" s="4">
        <v>103425</v>
      </c>
      <c r="C178" s="4" t="s">
        <v>457</v>
      </c>
      <c r="D178" s="4" t="s">
        <v>458</v>
      </c>
      <c r="E178" s="213" t="s">
        <v>5</v>
      </c>
      <c r="F178" s="248" t="s">
        <v>415</v>
      </c>
      <c r="G178" s="37"/>
      <c r="H178" s="273">
        <v>0</v>
      </c>
      <c r="I178" s="271">
        <v>0</v>
      </c>
      <c r="J178" s="273">
        <v>0</v>
      </c>
      <c r="K178" s="271">
        <v>0</v>
      </c>
      <c r="L178" s="271">
        <v>0</v>
      </c>
      <c r="M178" s="273">
        <v>0</v>
      </c>
      <c r="N178" s="273">
        <v>0</v>
      </c>
      <c r="O178" s="273">
        <f t="shared" si="6"/>
        <v>0</v>
      </c>
      <c r="P178" s="37"/>
      <c r="Q178" s="273">
        <v>0</v>
      </c>
      <c r="R178" s="271">
        <v>0</v>
      </c>
      <c r="S178" s="273">
        <v>0</v>
      </c>
      <c r="T178" s="271">
        <v>0</v>
      </c>
      <c r="U178" s="271">
        <v>0</v>
      </c>
      <c r="V178" s="273">
        <v>0</v>
      </c>
      <c r="W178" s="273"/>
      <c r="X178" s="273">
        <f t="shared" si="7"/>
        <v>0</v>
      </c>
      <c r="Z178" s="63"/>
      <c r="AA178" s="289"/>
    </row>
    <row r="179" spans="1:27">
      <c r="A179" s="231">
        <v>3435</v>
      </c>
      <c r="B179" s="4">
        <v>131920</v>
      </c>
      <c r="C179" s="4" t="s">
        <v>460</v>
      </c>
      <c r="D179" s="4" t="s">
        <v>461</v>
      </c>
      <c r="E179" s="213" t="s">
        <v>5</v>
      </c>
      <c r="F179" s="248" t="s">
        <v>415</v>
      </c>
      <c r="G179" s="37"/>
      <c r="H179" s="273">
        <v>0</v>
      </c>
      <c r="I179" s="271">
        <v>0</v>
      </c>
      <c r="J179" s="273">
        <v>0</v>
      </c>
      <c r="K179" s="271">
        <v>0</v>
      </c>
      <c r="L179" s="271">
        <v>0</v>
      </c>
      <c r="M179" s="273">
        <v>0</v>
      </c>
      <c r="N179" s="273">
        <v>0</v>
      </c>
      <c r="O179" s="273">
        <f t="shared" si="6"/>
        <v>0</v>
      </c>
      <c r="P179" s="37"/>
      <c r="Q179" s="273">
        <v>0</v>
      </c>
      <c r="R179" s="271">
        <v>0</v>
      </c>
      <c r="S179" s="273">
        <v>0</v>
      </c>
      <c r="T179" s="271">
        <v>0</v>
      </c>
      <c r="U179" s="271">
        <v>0</v>
      </c>
      <c r="V179" s="273">
        <v>0</v>
      </c>
      <c r="W179" s="273"/>
      <c r="X179" s="273">
        <f t="shared" si="7"/>
        <v>0</v>
      </c>
      <c r="Z179" s="63"/>
      <c r="AA179" s="289"/>
    </row>
    <row r="180" spans="1:27">
      <c r="A180" s="231">
        <v>7050</v>
      </c>
      <c r="B180" s="4">
        <v>103625</v>
      </c>
      <c r="C180" s="4" t="s">
        <v>463</v>
      </c>
      <c r="D180" s="4" t="s">
        <v>464</v>
      </c>
      <c r="E180" s="213" t="s">
        <v>1093</v>
      </c>
      <c r="F180" s="248" t="s">
        <v>415</v>
      </c>
      <c r="G180" s="37"/>
      <c r="H180" s="273">
        <v>0</v>
      </c>
      <c r="I180" s="271">
        <v>0</v>
      </c>
      <c r="J180" s="273">
        <v>0</v>
      </c>
      <c r="K180" s="271">
        <v>0</v>
      </c>
      <c r="L180" s="271">
        <v>0</v>
      </c>
      <c r="M180" s="273">
        <v>0</v>
      </c>
      <c r="N180" s="273">
        <v>0</v>
      </c>
      <c r="O180" s="273">
        <f t="shared" si="6"/>
        <v>0</v>
      </c>
      <c r="P180" s="37"/>
      <c r="Q180" s="273">
        <v>0</v>
      </c>
      <c r="R180" s="271">
        <v>0</v>
      </c>
      <c r="S180" s="273">
        <v>0</v>
      </c>
      <c r="T180" s="271">
        <v>0</v>
      </c>
      <c r="U180" s="271">
        <v>0</v>
      </c>
      <c r="V180" s="273">
        <v>0</v>
      </c>
      <c r="W180" s="273"/>
      <c r="X180" s="273">
        <f t="shared" si="7"/>
        <v>0</v>
      </c>
      <c r="Z180" s="63"/>
      <c r="AA180" s="289"/>
    </row>
    <row r="181" spans="1:27">
      <c r="A181" s="231">
        <v>2081</v>
      </c>
      <c r="B181" s="4">
        <v>103201</v>
      </c>
      <c r="C181" s="4" t="s">
        <v>466</v>
      </c>
      <c r="D181" s="4" t="s">
        <v>467</v>
      </c>
      <c r="E181" s="213" t="s">
        <v>5</v>
      </c>
      <c r="F181" s="248" t="s">
        <v>415</v>
      </c>
      <c r="G181" s="37"/>
      <c r="H181" s="273">
        <v>44389.8</v>
      </c>
      <c r="I181" s="271">
        <v>0</v>
      </c>
      <c r="J181" s="273">
        <v>0</v>
      </c>
      <c r="K181" s="271">
        <v>0</v>
      </c>
      <c r="L181" s="271">
        <v>1723.8000000000002</v>
      </c>
      <c r="M181" s="273">
        <v>0</v>
      </c>
      <c r="N181" s="273">
        <v>0</v>
      </c>
      <c r="O181" s="273">
        <f t="shared" si="6"/>
        <v>46113.600000000006</v>
      </c>
      <c r="P181" s="37"/>
      <c r="Q181" s="273">
        <v>62604</v>
      </c>
      <c r="R181" s="271">
        <v>0</v>
      </c>
      <c r="S181" s="273">
        <v>431.2</v>
      </c>
      <c r="T181" s="271">
        <v>0</v>
      </c>
      <c r="U181" s="271">
        <v>846.3</v>
      </c>
      <c r="V181" s="273">
        <v>0</v>
      </c>
      <c r="W181" s="273"/>
      <c r="X181" s="273">
        <f t="shared" si="7"/>
        <v>63881.5</v>
      </c>
      <c r="Z181" s="63"/>
      <c r="AA181" s="289"/>
    </row>
    <row r="182" spans="1:27">
      <c r="A182" s="231">
        <v>2093</v>
      </c>
      <c r="B182" s="4">
        <v>103210</v>
      </c>
      <c r="C182" s="4" t="s">
        <v>469</v>
      </c>
      <c r="D182" s="4" t="s">
        <v>470</v>
      </c>
      <c r="E182" s="213" t="s">
        <v>5</v>
      </c>
      <c r="F182" s="248" t="s">
        <v>415</v>
      </c>
      <c r="G182" s="37"/>
      <c r="H182" s="273">
        <v>140649</v>
      </c>
      <c r="I182" s="271">
        <v>0</v>
      </c>
      <c r="J182" s="273">
        <v>484.5</v>
      </c>
      <c r="K182" s="271">
        <v>0</v>
      </c>
      <c r="L182" s="271">
        <v>1407.6</v>
      </c>
      <c r="M182" s="273">
        <v>0</v>
      </c>
      <c r="N182" s="273">
        <v>0</v>
      </c>
      <c r="O182" s="273">
        <f t="shared" si="6"/>
        <v>142541.1</v>
      </c>
      <c r="P182" s="37"/>
      <c r="Q182" s="273">
        <v>133386</v>
      </c>
      <c r="R182" s="271">
        <v>0</v>
      </c>
      <c r="S182" s="273">
        <v>1637.2125000000001</v>
      </c>
      <c r="T182" s="271">
        <v>0</v>
      </c>
      <c r="U182" s="271">
        <v>1088.0999999999999</v>
      </c>
      <c r="V182" s="273">
        <v>0</v>
      </c>
      <c r="W182" s="273"/>
      <c r="X182" s="273">
        <f t="shared" si="7"/>
        <v>136111.3125</v>
      </c>
      <c r="Z182" s="63"/>
      <c r="AA182" s="289"/>
    </row>
    <row r="183" spans="1:27">
      <c r="A183" s="231">
        <v>2099</v>
      </c>
      <c r="B183" s="4">
        <v>103214</v>
      </c>
      <c r="C183" s="4" t="s">
        <v>472</v>
      </c>
      <c r="D183" s="4" t="s">
        <v>473</v>
      </c>
      <c r="E183" s="213" t="s">
        <v>5</v>
      </c>
      <c r="F183" s="248" t="s">
        <v>415</v>
      </c>
      <c r="G183" s="37"/>
      <c r="H183" s="273">
        <v>59836.800000000003</v>
      </c>
      <c r="I183" s="271">
        <v>0</v>
      </c>
      <c r="J183" s="273">
        <v>3613.8</v>
      </c>
      <c r="K183" s="271">
        <v>0</v>
      </c>
      <c r="L183" s="271">
        <v>3233.3999999999996</v>
      </c>
      <c r="M183" s="273">
        <v>0</v>
      </c>
      <c r="N183" s="273">
        <v>0</v>
      </c>
      <c r="O183" s="273">
        <f t="shared" si="6"/>
        <v>66684</v>
      </c>
      <c r="P183" s="37"/>
      <c r="Q183" s="273">
        <v>38634</v>
      </c>
      <c r="R183" s="271">
        <v>1045.8</v>
      </c>
      <c r="S183" s="273">
        <v>4757.0571428571429</v>
      </c>
      <c r="T183" s="271">
        <v>0</v>
      </c>
      <c r="U183" s="271">
        <v>2780.7000000000003</v>
      </c>
      <c r="V183" s="273">
        <v>0</v>
      </c>
      <c r="W183" s="273"/>
      <c r="X183" s="273">
        <f t="shared" si="7"/>
        <v>47217.557142857142</v>
      </c>
      <c r="Z183" s="63"/>
      <c r="AA183" s="289"/>
    </row>
    <row r="184" spans="1:27">
      <c r="A184" s="231">
        <v>2189</v>
      </c>
      <c r="B184" s="4">
        <v>103265</v>
      </c>
      <c r="C184" s="4" t="s">
        <v>475</v>
      </c>
      <c r="D184" s="4" t="s">
        <v>476</v>
      </c>
      <c r="E184" s="213" t="s">
        <v>5</v>
      </c>
      <c r="F184" s="248" t="s">
        <v>415</v>
      </c>
      <c r="G184" s="37"/>
      <c r="H184" s="273">
        <v>32845.199999999997</v>
      </c>
      <c r="I184" s="271">
        <v>0</v>
      </c>
      <c r="J184" s="273">
        <v>2217.3000000000002</v>
      </c>
      <c r="K184" s="271">
        <v>0</v>
      </c>
      <c r="L184" s="271">
        <v>2968.2000000000003</v>
      </c>
      <c r="M184" s="273">
        <v>0</v>
      </c>
      <c r="N184" s="273">
        <v>0</v>
      </c>
      <c r="O184" s="273">
        <f t="shared" si="6"/>
        <v>38030.699999999997</v>
      </c>
      <c r="P184" s="37"/>
      <c r="Q184" s="273">
        <v>50689.5</v>
      </c>
      <c r="R184" s="271">
        <v>0</v>
      </c>
      <c r="S184" s="273">
        <v>8395.65</v>
      </c>
      <c r="T184" s="271">
        <v>0</v>
      </c>
      <c r="U184" s="271">
        <v>2055.3000000000002</v>
      </c>
      <c r="V184" s="273">
        <v>0</v>
      </c>
      <c r="W184" s="273"/>
      <c r="X184" s="273">
        <f t="shared" si="7"/>
        <v>61140.450000000004</v>
      </c>
      <c r="Z184" s="63"/>
      <c r="AA184" s="289"/>
    </row>
    <row r="185" spans="1:27">
      <c r="A185" s="231">
        <v>7060</v>
      </c>
      <c r="B185" s="4">
        <v>103630</v>
      </c>
      <c r="C185" s="4" t="s">
        <v>478</v>
      </c>
      <c r="D185" s="4" t="s">
        <v>479</v>
      </c>
      <c r="E185" s="213" t="s">
        <v>1093</v>
      </c>
      <c r="F185" s="248" t="s">
        <v>415</v>
      </c>
      <c r="G185" s="37"/>
      <c r="H185" s="273">
        <v>0</v>
      </c>
      <c r="I185" s="271">
        <v>0</v>
      </c>
      <c r="J185" s="273">
        <v>0</v>
      </c>
      <c r="K185" s="271">
        <v>0</v>
      </c>
      <c r="L185" s="271">
        <v>0</v>
      </c>
      <c r="M185" s="273">
        <v>0</v>
      </c>
      <c r="N185" s="273">
        <v>0</v>
      </c>
      <c r="O185" s="273">
        <f t="shared" si="6"/>
        <v>0</v>
      </c>
      <c r="P185" s="37"/>
      <c r="Q185" s="273">
        <v>0</v>
      </c>
      <c r="R185" s="271">
        <v>0</v>
      </c>
      <c r="S185" s="273">
        <v>0</v>
      </c>
      <c r="T185" s="271">
        <v>0</v>
      </c>
      <c r="U185" s="271">
        <v>0</v>
      </c>
      <c r="V185" s="273">
        <v>0</v>
      </c>
      <c r="W185" s="273"/>
      <c r="X185" s="273">
        <f t="shared" si="7"/>
        <v>0</v>
      </c>
      <c r="Z185" s="63"/>
      <c r="AA185" s="289"/>
    </row>
    <row r="186" spans="1:27">
      <c r="A186" s="231">
        <v>7012</v>
      </c>
      <c r="B186" s="4">
        <v>103603</v>
      </c>
      <c r="C186" s="4" t="s">
        <v>481</v>
      </c>
      <c r="D186" s="4" t="s">
        <v>482</v>
      </c>
      <c r="E186" s="213" t="s">
        <v>1093</v>
      </c>
      <c r="F186" s="248" t="s">
        <v>415</v>
      </c>
      <c r="G186" s="37"/>
      <c r="H186" s="273">
        <v>11544.6</v>
      </c>
      <c r="I186" s="271">
        <v>0</v>
      </c>
      <c r="J186" s="273">
        <v>210.89999999999998</v>
      </c>
      <c r="K186" s="271">
        <v>436</v>
      </c>
      <c r="L186" s="271">
        <v>652.80000000000007</v>
      </c>
      <c r="M186" s="273">
        <v>0</v>
      </c>
      <c r="N186" s="273">
        <v>0</v>
      </c>
      <c r="O186" s="273">
        <f t="shared" si="6"/>
        <v>12844.3</v>
      </c>
      <c r="P186" s="37"/>
      <c r="Q186" s="273">
        <v>15298.5</v>
      </c>
      <c r="R186" s="271">
        <v>1132.9499999999998</v>
      </c>
      <c r="S186" s="273">
        <v>0</v>
      </c>
      <c r="T186" s="271">
        <v>1090</v>
      </c>
      <c r="U186" s="271">
        <v>0</v>
      </c>
      <c r="V186" s="273">
        <v>0</v>
      </c>
      <c r="W186" s="273"/>
      <c r="X186" s="273">
        <f t="shared" si="7"/>
        <v>17521.45</v>
      </c>
      <c r="Z186" s="63"/>
      <c r="AA186" s="289"/>
    </row>
    <row r="187" spans="1:27">
      <c r="A187" s="231">
        <v>2420</v>
      </c>
      <c r="B187" s="4">
        <v>103353</v>
      </c>
      <c r="C187" s="4" t="s">
        <v>484</v>
      </c>
      <c r="D187" s="4" t="s">
        <v>485</v>
      </c>
      <c r="E187" s="213" t="s">
        <v>5</v>
      </c>
      <c r="F187" s="248" t="s">
        <v>415</v>
      </c>
      <c r="G187" s="37"/>
      <c r="H187" s="273">
        <v>0</v>
      </c>
      <c r="I187" s="271">
        <v>0</v>
      </c>
      <c r="J187" s="273">
        <v>0</v>
      </c>
      <c r="K187" s="271">
        <v>0</v>
      </c>
      <c r="L187" s="271">
        <v>0</v>
      </c>
      <c r="M187" s="273">
        <v>0</v>
      </c>
      <c r="N187" s="273">
        <v>0</v>
      </c>
      <c r="O187" s="273">
        <f t="shared" si="6"/>
        <v>0</v>
      </c>
      <c r="P187" s="37"/>
      <c r="Q187" s="273">
        <v>0</v>
      </c>
      <c r="R187" s="271">
        <v>0</v>
      </c>
      <c r="S187" s="273">
        <v>0</v>
      </c>
      <c r="T187" s="271">
        <v>0</v>
      </c>
      <c r="U187" s="271">
        <v>0</v>
      </c>
      <c r="V187" s="273">
        <v>0</v>
      </c>
      <c r="W187" s="273"/>
      <c r="X187" s="273">
        <f t="shared" si="7"/>
        <v>0</v>
      </c>
      <c r="Z187" s="63"/>
      <c r="AA187" s="289"/>
    </row>
    <row r="188" spans="1:27">
      <c r="A188" s="231">
        <v>2406</v>
      </c>
      <c r="B188" s="4">
        <v>103345</v>
      </c>
      <c r="C188" s="4" t="s">
        <v>487</v>
      </c>
      <c r="D188" s="4" t="s">
        <v>488</v>
      </c>
      <c r="E188" s="213" t="s">
        <v>5</v>
      </c>
      <c r="F188" s="248" t="s">
        <v>415</v>
      </c>
      <c r="G188" s="37"/>
      <c r="H188" s="273">
        <v>0</v>
      </c>
      <c r="I188" s="271">
        <v>0</v>
      </c>
      <c r="J188" s="273">
        <v>0</v>
      </c>
      <c r="K188" s="271">
        <v>0</v>
      </c>
      <c r="L188" s="271">
        <v>0</v>
      </c>
      <c r="M188" s="273">
        <v>0</v>
      </c>
      <c r="N188" s="273">
        <v>0</v>
      </c>
      <c r="O188" s="273">
        <f t="shared" si="6"/>
        <v>0</v>
      </c>
      <c r="P188" s="37"/>
      <c r="Q188" s="273">
        <v>0</v>
      </c>
      <c r="R188" s="271">
        <v>0</v>
      </c>
      <c r="S188" s="273">
        <v>0</v>
      </c>
      <c r="T188" s="271">
        <v>0</v>
      </c>
      <c r="U188" s="271">
        <v>0</v>
      </c>
      <c r="V188" s="273">
        <v>0</v>
      </c>
      <c r="W188" s="273"/>
      <c r="X188" s="273">
        <f t="shared" si="7"/>
        <v>0</v>
      </c>
      <c r="Z188" s="63"/>
      <c r="AA188" s="289"/>
    </row>
    <row r="189" spans="1:27">
      <c r="A189" s="231">
        <v>3351</v>
      </c>
      <c r="B189" s="4">
        <v>103443</v>
      </c>
      <c r="C189" s="4" t="s">
        <v>490</v>
      </c>
      <c r="D189" s="4" t="s">
        <v>491</v>
      </c>
      <c r="E189" s="213" t="s">
        <v>5</v>
      </c>
      <c r="F189" s="248" t="s">
        <v>415</v>
      </c>
      <c r="G189" s="37"/>
      <c r="H189" s="273">
        <v>84931.400000000009</v>
      </c>
      <c r="I189" s="271">
        <v>0</v>
      </c>
      <c r="J189" s="273">
        <v>2319.9</v>
      </c>
      <c r="K189" s="271">
        <v>2180</v>
      </c>
      <c r="L189" s="271">
        <v>4049.4</v>
      </c>
      <c r="M189" s="273">
        <v>0</v>
      </c>
      <c r="N189" s="273">
        <v>0</v>
      </c>
      <c r="O189" s="273">
        <f t="shared" si="6"/>
        <v>93480.7</v>
      </c>
      <c r="P189" s="37"/>
      <c r="Q189" s="273">
        <v>71816</v>
      </c>
      <c r="R189" s="271">
        <v>0</v>
      </c>
      <c r="S189" s="273">
        <v>3242.9249999999997</v>
      </c>
      <c r="T189" s="271">
        <v>7630</v>
      </c>
      <c r="U189" s="271">
        <v>2901.6000000000004</v>
      </c>
      <c r="V189" s="273">
        <v>0</v>
      </c>
      <c r="W189" s="273"/>
      <c r="X189" s="273">
        <f t="shared" si="7"/>
        <v>85590.525000000009</v>
      </c>
      <c r="Z189" s="63"/>
      <c r="AA189" s="289"/>
    </row>
    <row r="190" spans="1:27">
      <c r="A190" s="231">
        <v>3328</v>
      </c>
      <c r="B190" s="4">
        <v>103430</v>
      </c>
      <c r="C190" s="4" t="s">
        <v>493</v>
      </c>
      <c r="D190" s="4" t="s">
        <v>494</v>
      </c>
      <c r="E190" s="213" t="s">
        <v>5</v>
      </c>
      <c r="F190" s="248" t="s">
        <v>415</v>
      </c>
      <c r="G190" s="37"/>
      <c r="H190" s="273">
        <v>57397.8</v>
      </c>
      <c r="I190" s="271">
        <v>0</v>
      </c>
      <c r="J190" s="273">
        <v>1282.5</v>
      </c>
      <c r="K190" s="271">
        <v>872</v>
      </c>
      <c r="L190" s="271">
        <v>1795.2000000000003</v>
      </c>
      <c r="M190" s="273">
        <v>0</v>
      </c>
      <c r="N190" s="273">
        <v>0</v>
      </c>
      <c r="O190" s="273">
        <f t="shared" si="6"/>
        <v>61347.5</v>
      </c>
      <c r="P190" s="37"/>
      <c r="Q190" s="273">
        <v>52875</v>
      </c>
      <c r="R190" s="271">
        <v>0</v>
      </c>
      <c r="S190" s="273">
        <v>2194.25</v>
      </c>
      <c r="T190" s="271">
        <v>545</v>
      </c>
      <c r="U190" s="271">
        <v>241.8</v>
      </c>
      <c r="V190" s="273">
        <v>0</v>
      </c>
      <c r="W190" s="273"/>
      <c r="X190" s="273">
        <f t="shared" si="7"/>
        <v>55856.05</v>
      </c>
      <c r="Z190" s="63"/>
      <c r="AA190" s="289"/>
    </row>
    <row r="191" spans="1:27">
      <c r="A191" s="231">
        <v>2160</v>
      </c>
      <c r="B191" s="4">
        <v>103248</v>
      </c>
      <c r="C191" s="4" t="s">
        <v>496</v>
      </c>
      <c r="D191" s="4" t="s">
        <v>497</v>
      </c>
      <c r="E191" s="213" t="s">
        <v>5</v>
      </c>
      <c r="F191" s="248" t="s">
        <v>415</v>
      </c>
      <c r="G191" s="37"/>
      <c r="H191" s="273">
        <v>0</v>
      </c>
      <c r="I191" s="271">
        <v>0</v>
      </c>
      <c r="J191" s="273">
        <v>0</v>
      </c>
      <c r="K191" s="271">
        <v>0</v>
      </c>
      <c r="L191" s="271">
        <v>0</v>
      </c>
      <c r="M191" s="273">
        <v>0</v>
      </c>
      <c r="N191" s="273">
        <v>0</v>
      </c>
      <c r="O191" s="273">
        <f t="shared" si="6"/>
        <v>0</v>
      </c>
      <c r="P191" s="37"/>
      <c r="Q191" s="273">
        <v>0</v>
      </c>
      <c r="R191" s="271">
        <v>0</v>
      </c>
      <c r="S191" s="273">
        <v>0</v>
      </c>
      <c r="T191" s="271">
        <v>0</v>
      </c>
      <c r="U191" s="271">
        <v>0</v>
      </c>
      <c r="V191" s="273">
        <v>0</v>
      </c>
      <c r="W191" s="273"/>
      <c r="X191" s="273">
        <f t="shared" si="7"/>
        <v>0</v>
      </c>
      <c r="Z191" s="63"/>
      <c r="AA191" s="289"/>
    </row>
    <row r="192" spans="1:27">
      <c r="A192" s="231">
        <v>2063</v>
      </c>
      <c r="B192" s="4">
        <v>103193</v>
      </c>
      <c r="C192" s="4" t="s">
        <v>499</v>
      </c>
      <c r="D192" s="4" t="s">
        <v>500</v>
      </c>
      <c r="E192" s="213" t="s">
        <v>5</v>
      </c>
      <c r="F192" s="248" t="s">
        <v>415</v>
      </c>
      <c r="G192" s="37"/>
      <c r="H192" s="273">
        <v>92682</v>
      </c>
      <c r="I192" s="271">
        <v>0</v>
      </c>
      <c r="J192" s="273">
        <v>7227.6</v>
      </c>
      <c r="K192" s="271">
        <v>0</v>
      </c>
      <c r="L192" s="271">
        <v>4233</v>
      </c>
      <c r="M192" s="273">
        <v>0</v>
      </c>
      <c r="N192" s="273">
        <v>0</v>
      </c>
      <c r="O192" s="273">
        <f t="shared" si="6"/>
        <v>104142.6</v>
      </c>
      <c r="P192" s="37"/>
      <c r="Q192" s="273">
        <v>71628</v>
      </c>
      <c r="R192" s="271">
        <v>0</v>
      </c>
      <c r="S192" s="273">
        <v>11813.58</v>
      </c>
      <c r="T192" s="271">
        <v>0</v>
      </c>
      <c r="U192" s="271">
        <v>2901.6</v>
      </c>
      <c r="V192" s="273">
        <v>0</v>
      </c>
      <c r="W192" s="273"/>
      <c r="X192" s="273">
        <f t="shared" si="7"/>
        <v>86343.180000000008</v>
      </c>
      <c r="Z192" s="63"/>
      <c r="AA192" s="289"/>
    </row>
    <row r="193" spans="1:27">
      <c r="A193" s="231">
        <v>2008</v>
      </c>
      <c r="B193" s="4">
        <v>103157</v>
      </c>
      <c r="C193" s="4" t="s">
        <v>502</v>
      </c>
      <c r="D193" s="4" t="s">
        <v>503</v>
      </c>
      <c r="E193" s="213" t="s">
        <v>5</v>
      </c>
      <c r="F193" s="248" t="s">
        <v>415</v>
      </c>
      <c r="G193" s="37"/>
      <c r="H193" s="273">
        <v>168291</v>
      </c>
      <c r="I193" s="271">
        <v>1591.2</v>
      </c>
      <c r="J193" s="273">
        <v>4269.3</v>
      </c>
      <c r="K193" s="271">
        <v>3052</v>
      </c>
      <c r="L193" s="271">
        <v>5559.0000000000009</v>
      </c>
      <c r="M193" s="273">
        <v>0</v>
      </c>
      <c r="N193" s="273">
        <v>0</v>
      </c>
      <c r="O193" s="273">
        <f t="shared" si="6"/>
        <v>182762.5</v>
      </c>
      <c r="P193" s="37"/>
      <c r="Q193" s="273">
        <v>148825.5</v>
      </c>
      <c r="R193" s="271">
        <v>3137.3999999999996</v>
      </c>
      <c r="S193" s="273">
        <v>7281.6630000000005</v>
      </c>
      <c r="T193" s="271">
        <v>0</v>
      </c>
      <c r="U193" s="271">
        <v>2538.9</v>
      </c>
      <c r="V193" s="273">
        <v>0</v>
      </c>
      <c r="W193" s="273"/>
      <c r="X193" s="273">
        <f t="shared" si="7"/>
        <v>161783.46299999999</v>
      </c>
      <c r="Z193" s="63"/>
      <c r="AA193" s="289"/>
    </row>
    <row r="194" spans="1:27">
      <c r="A194" s="231">
        <v>2176</v>
      </c>
      <c r="B194" s="4">
        <v>103256</v>
      </c>
      <c r="C194" s="4" t="s">
        <v>505</v>
      </c>
      <c r="D194" s="4" t="s">
        <v>506</v>
      </c>
      <c r="E194" s="213" t="s">
        <v>5</v>
      </c>
      <c r="F194" s="248" t="s">
        <v>415</v>
      </c>
      <c r="G194" s="37"/>
      <c r="H194" s="273">
        <v>228534.3</v>
      </c>
      <c r="I194" s="271">
        <v>0</v>
      </c>
      <c r="J194" s="273">
        <v>4531.5</v>
      </c>
      <c r="K194" s="271">
        <v>0</v>
      </c>
      <c r="L194" s="271">
        <v>8415</v>
      </c>
      <c r="M194" s="273">
        <v>0</v>
      </c>
      <c r="N194" s="273">
        <v>3640</v>
      </c>
      <c r="O194" s="273">
        <f t="shared" si="6"/>
        <v>245120.8</v>
      </c>
      <c r="P194" s="37"/>
      <c r="Q194" s="273">
        <v>193875</v>
      </c>
      <c r="R194" s="271">
        <v>6274.7999999999993</v>
      </c>
      <c r="S194" s="273">
        <v>4940.9831249999997</v>
      </c>
      <c r="T194" s="271">
        <v>0</v>
      </c>
      <c r="U194" s="271">
        <v>4352.3999999999996</v>
      </c>
      <c r="V194" s="273">
        <v>0</v>
      </c>
      <c r="W194" s="273"/>
      <c r="X194" s="273">
        <f t="shared" si="7"/>
        <v>209443.18312499998</v>
      </c>
      <c r="Z194" s="63"/>
      <c r="AA194" s="289"/>
    </row>
    <row r="195" spans="1:27">
      <c r="A195" s="231">
        <v>3410</v>
      </c>
      <c r="B195" s="4">
        <v>103478</v>
      </c>
      <c r="C195" s="4" t="s">
        <v>508</v>
      </c>
      <c r="D195" s="4" t="s">
        <v>509</v>
      </c>
      <c r="E195" s="213" t="s">
        <v>5</v>
      </c>
      <c r="F195" s="248" t="s">
        <v>415</v>
      </c>
      <c r="G195" s="37"/>
      <c r="H195" s="273">
        <v>0</v>
      </c>
      <c r="I195" s="271">
        <v>0</v>
      </c>
      <c r="J195" s="273">
        <v>0</v>
      </c>
      <c r="K195" s="271">
        <v>0</v>
      </c>
      <c r="L195" s="271">
        <v>0</v>
      </c>
      <c r="M195" s="273">
        <v>0</v>
      </c>
      <c r="N195" s="273">
        <v>0</v>
      </c>
      <c r="O195" s="273">
        <f t="shared" si="6"/>
        <v>0</v>
      </c>
      <c r="P195" s="37"/>
      <c r="Q195" s="273">
        <v>0</v>
      </c>
      <c r="R195" s="271">
        <v>0</v>
      </c>
      <c r="S195" s="273">
        <v>0</v>
      </c>
      <c r="T195" s="271">
        <v>0</v>
      </c>
      <c r="U195" s="271">
        <v>0</v>
      </c>
      <c r="V195" s="273">
        <v>0</v>
      </c>
      <c r="W195" s="273"/>
      <c r="X195" s="273">
        <f t="shared" si="7"/>
        <v>0</v>
      </c>
      <c r="Z195" s="63"/>
      <c r="AA195" s="289"/>
    </row>
    <row r="196" spans="1:27">
      <c r="A196" s="231">
        <v>3380</v>
      </c>
      <c r="B196" s="4">
        <v>103465</v>
      </c>
      <c r="C196" s="4" t="s">
        <v>511</v>
      </c>
      <c r="D196" s="4" t="s">
        <v>512</v>
      </c>
      <c r="E196" s="213" t="s">
        <v>5</v>
      </c>
      <c r="F196" s="248" t="s">
        <v>415</v>
      </c>
      <c r="G196" s="37"/>
      <c r="H196" s="273">
        <v>0</v>
      </c>
      <c r="I196" s="271">
        <v>0</v>
      </c>
      <c r="J196" s="273">
        <v>0</v>
      </c>
      <c r="K196" s="271">
        <v>0</v>
      </c>
      <c r="L196" s="271">
        <v>0</v>
      </c>
      <c r="M196" s="273">
        <v>0</v>
      </c>
      <c r="N196" s="273">
        <v>0</v>
      </c>
      <c r="O196" s="273">
        <f t="shared" si="6"/>
        <v>0</v>
      </c>
      <c r="P196" s="37"/>
      <c r="Q196" s="273">
        <v>0</v>
      </c>
      <c r="R196" s="271">
        <v>0</v>
      </c>
      <c r="S196" s="273">
        <v>0</v>
      </c>
      <c r="T196" s="271">
        <v>0</v>
      </c>
      <c r="U196" s="271">
        <v>0</v>
      </c>
      <c r="V196" s="273">
        <v>0</v>
      </c>
      <c r="W196" s="273"/>
      <c r="X196" s="273">
        <f t="shared" si="7"/>
        <v>0</v>
      </c>
      <c r="Z196" s="63"/>
      <c r="AA196" s="289"/>
    </row>
    <row r="197" spans="1:27">
      <c r="A197" s="231">
        <v>3335</v>
      </c>
      <c r="B197" s="4">
        <v>103434</v>
      </c>
      <c r="C197" s="4" t="s">
        <v>514</v>
      </c>
      <c r="D197" s="4" t="s">
        <v>515</v>
      </c>
      <c r="E197" s="213" t="s">
        <v>5</v>
      </c>
      <c r="F197" s="248" t="s">
        <v>415</v>
      </c>
      <c r="G197" s="37"/>
      <c r="H197" s="273">
        <v>0</v>
      </c>
      <c r="I197" s="271">
        <v>0</v>
      </c>
      <c r="J197" s="273">
        <v>0</v>
      </c>
      <c r="K197" s="271">
        <v>0</v>
      </c>
      <c r="L197" s="271">
        <v>0</v>
      </c>
      <c r="M197" s="273">
        <v>0</v>
      </c>
      <c r="N197" s="273">
        <v>0</v>
      </c>
      <c r="O197" s="273">
        <f t="shared" si="6"/>
        <v>0</v>
      </c>
      <c r="P197" s="37"/>
      <c r="Q197" s="273">
        <v>0</v>
      </c>
      <c r="R197" s="271">
        <v>0</v>
      </c>
      <c r="S197" s="273">
        <v>0</v>
      </c>
      <c r="T197" s="271">
        <v>0</v>
      </c>
      <c r="U197" s="271">
        <v>0</v>
      </c>
      <c r="V197" s="273">
        <v>0</v>
      </c>
      <c r="W197" s="273"/>
      <c r="X197" s="273">
        <f t="shared" si="7"/>
        <v>0</v>
      </c>
      <c r="Z197" s="63"/>
      <c r="AA197" s="289"/>
    </row>
    <row r="198" spans="1:27">
      <c r="A198" s="231">
        <v>3372</v>
      </c>
      <c r="B198" s="4">
        <v>103460</v>
      </c>
      <c r="C198" s="4" t="s">
        <v>517</v>
      </c>
      <c r="D198" s="4" t="s">
        <v>518</v>
      </c>
      <c r="E198" s="213" t="s">
        <v>5</v>
      </c>
      <c r="F198" s="248" t="s">
        <v>415</v>
      </c>
      <c r="G198" s="37"/>
      <c r="H198" s="273">
        <v>187152.59999999995</v>
      </c>
      <c r="I198" s="271">
        <v>0</v>
      </c>
      <c r="J198" s="273">
        <v>5198.3999999999996</v>
      </c>
      <c r="K198" s="271">
        <v>6758</v>
      </c>
      <c r="L198" s="271">
        <v>11434.2</v>
      </c>
      <c r="M198" s="273">
        <v>0</v>
      </c>
      <c r="N198" s="273">
        <v>0</v>
      </c>
      <c r="O198" s="273">
        <f t="shared" si="6"/>
        <v>210543.19999999995</v>
      </c>
      <c r="P198" s="37"/>
      <c r="Q198" s="273">
        <v>179352</v>
      </c>
      <c r="R198" s="271">
        <v>0</v>
      </c>
      <c r="S198" s="273">
        <v>7127.0470588235285</v>
      </c>
      <c r="T198" s="271">
        <v>14170</v>
      </c>
      <c r="U198" s="271">
        <v>6770.4</v>
      </c>
      <c r="V198" s="273">
        <v>0</v>
      </c>
      <c r="W198" s="273"/>
      <c r="X198" s="273">
        <f t="shared" si="7"/>
        <v>207419.44705882351</v>
      </c>
      <c r="Z198" s="63"/>
      <c r="AA198" s="289"/>
    </row>
    <row r="199" spans="1:27">
      <c r="A199" s="231">
        <v>3355</v>
      </c>
      <c r="B199" s="4">
        <v>103447</v>
      </c>
      <c r="C199" s="4" t="s">
        <v>520</v>
      </c>
      <c r="D199" s="4" t="s">
        <v>521</v>
      </c>
      <c r="E199" s="213" t="s">
        <v>5</v>
      </c>
      <c r="F199" s="248" t="s">
        <v>415</v>
      </c>
      <c r="G199" s="37"/>
      <c r="H199" s="273">
        <v>0</v>
      </c>
      <c r="I199" s="271">
        <v>0</v>
      </c>
      <c r="J199" s="273">
        <v>0</v>
      </c>
      <c r="K199" s="271">
        <v>0</v>
      </c>
      <c r="L199" s="271">
        <v>0</v>
      </c>
      <c r="M199" s="273">
        <v>0</v>
      </c>
      <c r="N199" s="273">
        <v>0</v>
      </c>
      <c r="O199" s="273">
        <f t="shared" si="6"/>
        <v>0</v>
      </c>
      <c r="P199" s="37"/>
      <c r="Q199" s="273">
        <v>0</v>
      </c>
      <c r="R199" s="271">
        <v>0</v>
      </c>
      <c r="S199" s="273">
        <v>0</v>
      </c>
      <c r="T199" s="271">
        <v>0</v>
      </c>
      <c r="U199" s="271">
        <v>0</v>
      </c>
      <c r="V199" s="273">
        <v>0</v>
      </c>
      <c r="W199" s="273"/>
      <c r="X199" s="273">
        <f t="shared" si="7"/>
        <v>0</v>
      </c>
      <c r="Z199" s="63"/>
      <c r="AA199" s="289"/>
    </row>
    <row r="200" spans="1:27">
      <c r="A200" s="231">
        <v>3367</v>
      </c>
      <c r="B200" s="4">
        <v>103458</v>
      </c>
      <c r="C200" s="4" t="s">
        <v>523</v>
      </c>
      <c r="D200" s="4" t="s">
        <v>524</v>
      </c>
      <c r="E200" s="213" t="s">
        <v>5</v>
      </c>
      <c r="F200" s="248" t="s">
        <v>415</v>
      </c>
      <c r="G200" s="37"/>
      <c r="H200" s="273">
        <v>118535.40000000001</v>
      </c>
      <c r="I200" s="271">
        <v>0</v>
      </c>
      <c r="J200" s="273">
        <v>4007.1</v>
      </c>
      <c r="K200" s="271">
        <v>1090</v>
      </c>
      <c r="L200" s="271">
        <v>2070.6</v>
      </c>
      <c r="M200" s="273">
        <v>0</v>
      </c>
      <c r="N200" s="273">
        <v>0</v>
      </c>
      <c r="O200" s="273">
        <f t="shared" si="6"/>
        <v>125703.10000000002</v>
      </c>
      <c r="P200" s="37"/>
      <c r="Q200" s="273">
        <v>93130.5</v>
      </c>
      <c r="R200" s="271">
        <v>0</v>
      </c>
      <c r="S200" s="273">
        <v>7436.3639999999996</v>
      </c>
      <c r="T200" s="271">
        <v>5995</v>
      </c>
      <c r="U200" s="271">
        <v>967.2</v>
      </c>
      <c r="V200" s="273">
        <v>0</v>
      </c>
      <c r="W200" s="273"/>
      <c r="X200" s="273">
        <f t="shared" si="7"/>
        <v>107529.064</v>
      </c>
      <c r="Z200" s="63"/>
      <c r="AA200" s="289"/>
    </row>
    <row r="201" spans="1:27">
      <c r="A201" s="231">
        <v>3361</v>
      </c>
      <c r="B201" s="4">
        <v>103453</v>
      </c>
      <c r="C201" s="4" t="s">
        <v>526</v>
      </c>
      <c r="D201" s="4" t="s">
        <v>527</v>
      </c>
      <c r="E201" s="213" t="s">
        <v>5</v>
      </c>
      <c r="F201" s="248" t="s">
        <v>415</v>
      </c>
      <c r="G201" s="37"/>
      <c r="H201" s="273">
        <v>93820.199999999983</v>
      </c>
      <c r="I201" s="271">
        <v>0</v>
      </c>
      <c r="J201" s="273">
        <v>2508</v>
      </c>
      <c r="K201" s="271">
        <v>1308</v>
      </c>
      <c r="L201" s="271">
        <v>2580.6000000000004</v>
      </c>
      <c r="M201" s="273">
        <v>0</v>
      </c>
      <c r="N201" s="273">
        <v>0</v>
      </c>
      <c r="O201" s="273">
        <f t="shared" si="6"/>
        <v>100216.79999999999</v>
      </c>
      <c r="P201" s="37"/>
      <c r="Q201" s="273">
        <v>78396</v>
      </c>
      <c r="R201" s="271">
        <v>0</v>
      </c>
      <c r="S201" s="273">
        <v>3263.333333333333</v>
      </c>
      <c r="T201" s="271">
        <v>3270</v>
      </c>
      <c r="U201" s="271">
        <v>1450.8</v>
      </c>
      <c r="V201" s="273">
        <v>0</v>
      </c>
      <c r="W201" s="273"/>
      <c r="X201" s="273">
        <f t="shared" si="7"/>
        <v>86380.133333333331</v>
      </c>
      <c r="Z201" s="63"/>
      <c r="AA201" s="289"/>
    </row>
    <row r="202" spans="1:27">
      <c r="A202" s="231">
        <v>3344</v>
      </c>
      <c r="B202" s="4">
        <v>103438</v>
      </c>
      <c r="C202" s="4" t="s">
        <v>529</v>
      </c>
      <c r="D202" s="4" t="s">
        <v>530</v>
      </c>
      <c r="E202" s="213" t="s">
        <v>5</v>
      </c>
      <c r="F202" s="248" t="s">
        <v>415</v>
      </c>
      <c r="G202" s="37"/>
      <c r="H202" s="273">
        <v>0</v>
      </c>
      <c r="I202" s="271">
        <v>0</v>
      </c>
      <c r="J202" s="273">
        <v>0</v>
      </c>
      <c r="K202" s="271">
        <v>0</v>
      </c>
      <c r="L202" s="271">
        <v>0</v>
      </c>
      <c r="M202" s="273">
        <v>0</v>
      </c>
      <c r="N202" s="273">
        <v>0</v>
      </c>
      <c r="O202" s="273">
        <f t="shared" ref="O202:O218" si="8">SUM(H202:N202)</f>
        <v>0</v>
      </c>
      <c r="P202" s="37"/>
      <c r="Q202" s="273">
        <v>0</v>
      </c>
      <c r="R202" s="271">
        <v>0</v>
      </c>
      <c r="S202" s="273">
        <v>0</v>
      </c>
      <c r="T202" s="271">
        <v>0</v>
      </c>
      <c r="U202" s="271">
        <v>0</v>
      </c>
      <c r="V202" s="273">
        <v>0</v>
      </c>
      <c r="W202" s="273"/>
      <c r="X202" s="273">
        <f t="shared" ref="X202:X218" si="9">SUM(Q202:W202)</f>
        <v>0</v>
      </c>
      <c r="Z202" s="63"/>
      <c r="AA202" s="289"/>
    </row>
    <row r="203" spans="1:27">
      <c r="A203" s="231">
        <v>3385</v>
      </c>
      <c r="B203" s="4">
        <v>103469</v>
      </c>
      <c r="C203" s="4" t="s">
        <v>532</v>
      </c>
      <c r="D203" s="4" t="s">
        <v>533</v>
      </c>
      <c r="E203" s="213" t="s">
        <v>5</v>
      </c>
      <c r="F203" s="248" t="s">
        <v>415</v>
      </c>
      <c r="G203" s="37"/>
      <c r="H203" s="273">
        <v>0</v>
      </c>
      <c r="I203" s="271">
        <v>0</v>
      </c>
      <c r="J203" s="273">
        <v>0</v>
      </c>
      <c r="K203" s="271">
        <v>0</v>
      </c>
      <c r="L203" s="271">
        <v>0</v>
      </c>
      <c r="M203" s="273">
        <v>0</v>
      </c>
      <c r="N203" s="273">
        <v>0</v>
      </c>
      <c r="O203" s="273">
        <f t="shared" si="8"/>
        <v>0</v>
      </c>
      <c r="P203" s="37"/>
      <c r="Q203" s="273">
        <v>0</v>
      </c>
      <c r="R203" s="271">
        <v>0</v>
      </c>
      <c r="S203" s="273">
        <v>0</v>
      </c>
      <c r="T203" s="271">
        <v>0</v>
      </c>
      <c r="U203" s="271">
        <v>0</v>
      </c>
      <c r="V203" s="273">
        <v>0</v>
      </c>
      <c r="W203" s="273"/>
      <c r="X203" s="273">
        <f t="shared" si="9"/>
        <v>0</v>
      </c>
      <c r="Z203" s="63"/>
      <c r="AA203" s="289"/>
    </row>
    <row r="204" spans="1:27">
      <c r="A204" s="231">
        <v>3019</v>
      </c>
      <c r="B204" s="4">
        <v>103406</v>
      </c>
      <c r="C204" s="4" t="s">
        <v>535</v>
      </c>
      <c r="D204" s="4" t="s">
        <v>536</v>
      </c>
      <c r="E204" s="213" t="s">
        <v>5</v>
      </c>
      <c r="F204" s="248" t="s">
        <v>415</v>
      </c>
      <c r="G204" s="37"/>
      <c r="H204" s="273">
        <v>0</v>
      </c>
      <c r="I204" s="271">
        <v>0</v>
      </c>
      <c r="J204" s="273">
        <v>0</v>
      </c>
      <c r="K204" s="271">
        <v>0</v>
      </c>
      <c r="L204" s="271">
        <v>0</v>
      </c>
      <c r="M204" s="273">
        <v>0</v>
      </c>
      <c r="N204" s="273">
        <v>0</v>
      </c>
      <c r="O204" s="273">
        <f t="shared" si="8"/>
        <v>0</v>
      </c>
      <c r="P204" s="37"/>
      <c r="Q204" s="273">
        <v>0</v>
      </c>
      <c r="R204" s="271">
        <v>0</v>
      </c>
      <c r="S204" s="273">
        <v>0</v>
      </c>
      <c r="T204" s="271">
        <v>0</v>
      </c>
      <c r="U204" s="271">
        <v>0</v>
      </c>
      <c r="V204" s="273">
        <v>0</v>
      </c>
      <c r="W204" s="273"/>
      <c r="X204" s="273">
        <f t="shared" si="9"/>
        <v>0</v>
      </c>
      <c r="Z204" s="63"/>
      <c r="AA204" s="289"/>
    </row>
    <row r="205" spans="1:27">
      <c r="A205" s="231">
        <v>2178</v>
      </c>
      <c r="B205" s="4">
        <v>103257</v>
      </c>
      <c r="C205" s="4" t="s">
        <v>538</v>
      </c>
      <c r="D205" s="4" t="s">
        <v>539</v>
      </c>
      <c r="E205" s="213" t="s">
        <v>5</v>
      </c>
      <c r="F205" s="248" t="s">
        <v>415</v>
      </c>
      <c r="G205" s="37"/>
      <c r="H205" s="273">
        <v>82568.279999999984</v>
      </c>
      <c r="I205" s="271">
        <v>0</v>
      </c>
      <c r="J205" s="273">
        <v>1829.6999999999998</v>
      </c>
      <c r="K205" s="271">
        <v>218</v>
      </c>
      <c r="L205" s="271">
        <v>1785</v>
      </c>
      <c r="M205" s="273">
        <v>0</v>
      </c>
      <c r="N205" s="273">
        <v>0</v>
      </c>
      <c r="O205" s="273">
        <f t="shared" si="8"/>
        <v>86400.979999999981</v>
      </c>
      <c r="P205" s="37"/>
      <c r="Q205" s="273">
        <v>73940.400000000009</v>
      </c>
      <c r="R205" s="271">
        <v>0</v>
      </c>
      <c r="S205" s="273">
        <v>4331.3534482758623</v>
      </c>
      <c r="T205" s="271">
        <v>0</v>
      </c>
      <c r="U205" s="271">
        <v>725.4</v>
      </c>
      <c r="V205" s="273">
        <v>0</v>
      </c>
      <c r="W205" s="273"/>
      <c r="X205" s="273">
        <f t="shared" si="9"/>
        <v>78997.153448275873</v>
      </c>
      <c r="Z205" s="63"/>
      <c r="AA205" s="289"/>
    </row>
    <row r="206" spans="1:27">
      <c r="A206" s="231">
        <v>2097</v>
      </c>
      <c r="B206" s="4">
        <v>103213</v>
      </c>
      <c r="C206" s="4" t="s">
        <v>541</v>
      </c>
      <c r="D206" s="4" t="s">
        <v>542</v>
      </c>
      <c r="E206" s="213" t="s">
        <v>5</v>
      </c>
      <c r="F206" s="248" t="s">
        <v>415</v>
      </c>
      <c r="G206" s="37"/>
      <c r="H206" s="273">
        <v>85934.099999999991</v>
      </c>
      <c r="I206" s="271">
        <v>0</v>
      </c>
      <c r="J206" s="273">
        <v>3152.1</v>
      </c>
      <c r="K206" s="271">
        <v>0</v>
      </c>
      <c r="L206" s="271">
        <v>2754</v>
      </c>
      <c r="M206" s="273">
        <v>0</v>
      </c>
      <c r="N206" s="273">
        <v>0</v>
      </c>
      <c r="O206" s="273">
        <f t="shared" si="8"/>
        <v>91840.2</v>
      </c>
      <c r="P206" s="37"/>
      <c r="Q206" s="273">
        <v>53721</v>
      </c>
      <c r="R206" s="271">
        <v>0</v>
      </c>
      <c r="S206" s="273">
        <v>4385.9906250000004</v>
      </c>
      <c r="T206" s="271">
        <v>0</v>
      </c>
      <c r="U206" s="271">
        <v>1571.7</v>
      </c>
      <c r="V206" s="273">
        <v>0</v>
      </c>
      <c r="W206" s="273"/>
      <c r="X206" s="273">
        <f t="shared" si="9"/>
        <v>59678.690624999996</v>
      </c>
      <c r="Z206" s="63"/>
      <c r="AA206" s="289"/>
    </row>
    <row r="207" spans="1:27">
      <c r="A207" s="231">
        <v>2190</v>
      </c>
      <c r="B207" s="4">
        <v>103266</v>
      </c>
      <c r="C207" s="4" t="s">
        <v>544</v>
      </c>
      <c r="D207" s="4" t="s">
        <v>545</v>
      </c>
      <c r="E207" s="213" t="s">
        <v>5</v>
      </c>
      <c r="F207" s="248" t="s">
        <v>415</v>
      </c>
      <c r="G207" s="37"/>
      <c r="H207" s="273">
        <v>0</v>
      </c>
      <c r="I207" s="271">
        <v>0</v>
      </c>
      <c r="J207" s="273">
        <v>0</v>
      </c>
      <c r="K207" s="271">
        <v>0</v>
      </c>
      <c r="L207" s="271">
        <v>0</v>
      </c>
      <c r="M207" s="273">
        <v>0</v>
      </c>
      <c r="N207" s="273">
        <v>0</v>
      </c>
      <c r="O207" s="273">
        <f t="shared" si="8"/>
        <v>0</v>
      </c>
      <c r="P207" s="37"/>
      <c r="Q207" s="273">
        <v>0</v>
      </c>
      <c r="R207" s="271">
        <v>0</v>
      </c>
      <c r="S207" s="273">
        <v>0</v>
      </c>
      <c r="T207" s="271">
        <v>0</v>
      </c>
      <c r="U207" s="271">
        <v>0</v>
      </c>
      <c r="V207" s="273">
        <v>0</v>
      </c>
      <c r="W207" s="273"/>
      <c r="X207" s="273">
        <f t="shared" si="9"/>
        <v>0</v>
      </c>
      <c r="Z207" s="63"/>
      <c r="AA207" s="289"/>
    </row>
    <row r="208" spans="1:27">
      <c r="A208" s="231">
        <v>7035</v>
      </c>
      <c r="B208" s="4">
        <v>103615</v>
      </c>
      <c r="C208" s="4" t="s">
        <v>547</v>
      </c>
      <c r="D208" s="4" t="s">
        <v>548</v>
      </c>
      <c r="E208" s="213" t="s">
        <v>1093</v>
      </c>
      <c r="F208" s="248" t="s">
        <v>415</v>
      </c>
      <c r="G208" s="37"/>
      <c r="H208" s="273">
        <v>0</v>
      </c>
      <c r="I208" s="271">
        <v>0</v>
      </c>
      <c r="J208" s="273">
        <v>0</v>
      </c>
      <c r="K208" s="271">
        <v>0</v>
      </c>
      <c r="L208" s="271">
        <v>0</v>
      </c>
      <c r="M208" s="273">
        <v>0</v>
      </c>
      <c r="N208" s="273">
        <v>0</v>
      </c>
      <c r="O208" s="273">
        <f t="shared" si="8"/>
        <v>0</v>
      </c>
      <c r="P208" s="37"/>
      <c r="Q208" s="273">
        <v>0</v>
      </c>
      <c r="R208" s="271">
        <v>0</v>
      </c>
      <c r="S208" s="273">
        <v>0</v>
      </c>
      <c r="T208" s="271">
        <v>0</v>
      </c>
      <c r="U208" s="271">
        <v>0</v>
      </c>
      <c r="V208" s="273">
        <v>0</v>
      </c>
      <c r="W208" s="273"/>
      <c r="X208" s="273">
        <f t="shared" si="9"/>
        <v>0</v>
      </c>
      <c r="Z208" s="63"/>
      <c r="AA208" s="289"/>
    </row>
    <row r="209" spans="1:27">
      <c r="A209" s="231">
        <v>7045</v>
      </c>
      <c r="B209" s="4">
        <v>103622</v>
      </c>
      <c r="C209" s="4" t="s">
        <v>550</v>
      </c>
      <c r="D209" s="4" t="s">
        <v>864</v>
      </c>
      <c r="E209" s="213" t="s">
        <v>1093</v>
      </c>
      <c r="F209" s="248" t="s">
        <v>415</v>
      </c>
      <c r="G209" s="37"/>
      <c r="H209" s="273">
        <v>2113.8000000000002</v>
      </c>
      <c r="I209" s="271">
        <v>0</v>
      </c>
      <c r="J209" s="273">
        <v>0</v>
      </c>
      <c r="K209" s="271">
        <v>0</v>
      </c>
      <c r="L209" s="271">
        <v>265.20000000000005</v>
      </c>
      <c r="M209" s="273">
        <v>0</v>
      </c>
      <c r="N209" s="273">
        <v>0</v>
      </c>
      <c r="O209" s="273">
        <f t="shared" si="8"/>
        <v>2379</v>
      </c>
      <c r="P209" s="37"/>
      <c r="Q209" s="273">
        <v>846</v>
      </c>
      <c r="R209" s="271">
        <v>0</v>
      </c>
      <c r="S209" s="273">
        <v>0</v>
      </c>
      <c r="T209" s="271">
        <v>0</v>
      </c>
      <c r="U209" s="271">
        <v>0</v>
      </c>
      <c r="V209" s="273">
        <v>0</v>
      </c>
      <c r="W209" s="273"/>
      <c r="X209" s="273">
        <f t="shared" si="9"/>
        <v>846</v>
      </c>
      <c r="Z209" s="63"/>
      <c r="AA209" s="289"/>
    </row>
    <row r="210" spans="1:27">
      <c r="A210" s="231">
        <v>1019</v>
      </c>
      <c r="B210" s="4">
        <v>103132</v>
      </c>
      <c r="C210" s="4" t="s">
        <v>553</v>
      </c>
      <c r="D210" s="4" t="s">
        <v>554</v>
      </c>
      <c r="E210" s="213" t="s">
        <v>180</v>
      </c>
      <c r="F210" s="248" t="s">
        <v>415</v>
      </c>
      <c r="G210" s="37"/>
      <c r="H210" s="273">
        <v>442841.1</v>
      </c>
      <c r="I210" s="271">
        <v>118483.20000000001</v>
      </c>
      <c r="J210" s="273">
        <v>13081.5</v>
      </c>
      <c r="K210" s="271">
        <v>218</v>
      </c>
      <c r="L210" s="271">
        <v>9659.4000000000015</v>
      </c>
      <c r="M210" s="273">
        <v>307838.86</v>
      </c>
      <c r="N210" s="273">
        <v>9100</v>
      </c>
      <c r="O210" s="273">
        <f t="shared" si="8"/>
        <v>901222.06</v>
      </c>
      <c r="P210" s="37"/>
      <c r="Q210" s="273">
        <v>381475.5</v>
      </c>
      <c r="R210" s="271">
        <v>101616.9</v>
      </c>
      <c r="S210" s="273">
        <v>17551.170833333334</v>
      </c>
      <c r="T210" s="271">
        <v>545</v>
      </c>
      <c r="U210" s="271">
        <v>12257.4</v>
      </c>
      <c r="V210" s="273">
        <v>214613.1135339342</v>
      </c>
      <c r="W210" s="273"/>
      <c r="X210" s="273">
        <f t="shared" si="9"/>
        <v>728059.08436726755</v>
      </c>
      <c r="Z210" s="63"/>
      <c r="AA210" s="289"/>
    </row>
    <row r="211" spans="1:27">
      <c r="A211" s="231">
        <v>2306</v>
      </c>
      <c r="B211" s="4">
        <v>103326</v>
      </c>
      <c r="C211" s="4" t="s">
        <v>556</v>
      </c>
      <c r="D211" s="4" t="s">
        <v>557</v>
      </c>
      <c r="E211" s="213" t="s">
        <v>5</v>
      </c>
      <c r="F211" s="248" t="s">
        <v>415</v>
      </c>
      <c r="G211" s="37"/>
      <c r="H211" s="273">
        <v>0</v>
      </c>
      <c r="I211" s="271">
        <v>0</v>
      </c>
      <c r="J211" s="273">
        <v>0</v>
      </c>
      <c r="K211" s="271">
        <v>0</v>
      </c>
      <c r="L211" s="271">
        <v>0</v>
      </c>
      <c r="M211" s="273">
        <v>0</v>
      </c>
      <c r="N211" s="273">
        <v>0</v>
      </c>
      <c r="O211" s="273">
        <f t="shared" si="8"/>
        <v>0</v>
      </c>
      <c r="P211" s="37"/>
      <c r="Q211" s="273">
        <v>0</v>
      </c>
      <c r="R211" s="271">
        <v>0</v>
      </c>
      <c r="S211" s="273">
        <v>0</v>
      </c>
      <c r="T211" s="271">
        <v>0</v>
      </c>
      <c r="U211" s="271">
        <v>0</v>
      </c>
      <c r="V211" s="273">
        <v>0</v>
      </c>
      <c r="W211" s="273"/>
      <c r="X211" s="273">
        <f t="shared" si="9"/>
        <v>0</v>
      </c>
      <c r="Z211" s="63"/>
      <c r="AA211" s="289"/>
    </row>
    <row r="212" spans="1:27">
      <c r="A212" s="231">
        <v>2482</v>
      </c>
      <c r="B212" s="4">
        <v>132201</v>
      </c>
      <c r="C212" s="4" t="s">
        <v>559</v>
      </c>
      <c r="D212" s="4" t="s">
        <v>560</v>
      </c>
      <c r="E212" s="213" t="s">
        <v>5</v>
      </c>
      <c r="F212" s="248" t="s">
        <v>415</v>
      </c>
      <c r="G212" s="37"/>
      <c r="H212" s="273">
        <v>134470.20000000001</v>
      </c>
      <c r="I212" s="271">
        <v>0</v>
      </c>
      <c r="J212" s="273">
        <v>1960.8</v>
      </c>
      <c r="K212" s="271">
        <v>0</v>
      </c>
      <c r="L212" s="271">
        <v>4120.8</v>
      </c>
      <c r="M212" s="273">
        <v>0</v>
      </c>
      <c r="N212" s="273">
        <v>0</v>
      </c>
      <c r="O212" s="273">
        <f t="shared" si="8"/>
        <v>140551.79999999999</v>
      </c>
      <c r="P212" s="37"/>
      <c r="Q212" s="273">
        <v>100674</v>
      </c>
      <c r="R212" s="271">
        <v>0</v>
      </c>
      <c r="S212" s="273">
        <v>2063.5714285714284</v>
      </c>
      <c r="T212" s="271">
        <v>0</v>
      </c>
      <c r="U212" s="271">
        <v>2176.1999999999998</v>
      </c>
      <c r="V212" s="273">
        <v>0</v>
      </c>
      <c r="W212" s="273"/>
      <c r="X212" s="273">
        <f t="shared" si="9"/>
        <v>104913.77142857143</v>
      </c>
      <c r="Z212" s="63"/>
      <c r="AA212" s="289"/>
    </row>
    <row r="213" spans="1:27">
      <c r="A213" s="231">
        <v>2245</v>
      </c>
      <c r="B213" s="4">
        <v>103295</v>
      </c>
      <c r="C213" s="4" t="s">
        <v>562</v>
      </c>
      <c r="D213" s="4" t="s">
        <v>563</v>
      </c>
      <c r="E213" s="213" t="s">
        <v>5</v>
      </c>
      <c r="F213" s="248" t="s">
        <v>415</v>
      </c>
      <c r="G213" s="37"/>
      <c r="H213" s="273">
        <v>70243.199999999997</v>
      </c>
      <c r="I213" s="271">
        <v>0</v>
      </c>
      <c r="J213" s="273">
        <v>7512.6</v>
      </c>
      <c r="K213" s="271">
        <v>2398</v>
      </c>
      <c r="L213" s="271">
        <v>1703.4</v>
      </c>
      <c r="M213" s="273">
        <v>0</v>
      </c>
      <c r="N213" s="273">
        <v>0</v>
      </c>
      <c r="O213" s="273">
        <f t="shared" si="8"/>
        <v>81857.2</v>
      </c>
      <c r="P213" s="37"/>
      <c r="Q213" s="273">
        <v>50830.5</v>
      </c>
      <c r="R213" s="271">
        <v>0</v>
      </c>
      <c r="S213" s="273">
        <v>9052.0434782608681</v>
      </c>
      <c r="T213" s="271">
        <v>4360</v>
      </c>
      <c r="U213" s="271">
        <v>1813.5</v>
      </c>
      <c r="V213" s="273">
        <v>0</v>
      </c>
      <c r="W213" s="273"/>
      <c r="X213" s="273">
        <f t="shared" si="9"/>
        <v>66056.043478260865</v>
      </c>
      <c r="Z213" s="63"/>
      <c r="AA213" s="289"/>
    </row>
    <row r="214" spans="1:27">
      <c r="A214" s="231">
        <v>2445</v>
      </c>
      <c r="B214" s="4">
        <v>103372</v>
      </c>
      <c r="C214" s="4" t="s">
        <v>568</v>
      </c>
      <c r="D214" s="4" t="s">
        <v>569</v>
      </c>
      <c r="E214" s="213" t="s">
        <v>5</v>
      </c>
      <c r="F214" s="248" t="s">
        <v>415</v>
      </c>
      <c r="G214" s="37"/>
      <c r="H214" s="273">
        <v>0</v>
      </c>
      <c r="I214" s="271">
        <v>0</v>
      </c>
      <c r="J214" s="273">
        <v>0</v>
      </c>
      <c r="K214" s="271">
        <v>0</v>
      </c>
      <c r="L214" s="271">
        <v>0</v>
      </c>
      <c r="M214" s="273">
        <v>0</v>
      </c>
      <c r="N214" s="273">
        <v>0</v>
      </c>
      <c r="O214" s="273">
        <f t="shared" si="8"/>
        <v>0</v>
      </c>
      <c r="P214" s="37"/>
      <c r="Q214" s="273">
        <v>0</v>
      </c>
      <c r="R214" s="271">
        <v>0</v>
      </c>
      <c r="S214" s="273">
        <v>0</v>
      </c>
      <c r="T214" s="271">
        <v>0</v>
      </c>
      <c r="U214" s="271">
        <v>0</v>
      </c>
      <c r="V214" s="273">
        <v>0</v>
      </c>
      <c r="W214" s="273"/>
      <c r="X214" s="273">
        <f t="shared" si="9"/>
        <v>0</v>
      </c>
      <c r="Z214" s="63"/>
      <c r="AA214" s="289"/>
    </row>
    <row r="215" spans="1:27">
      <c r="A215" s="231">
        <v>2278</v>
      </c>
      <c r="B215" s="4">
        <v>103310</v>
      </c>
      <c r="C215" s="4" t="s">
        <v>571</v>
      </c>
      <c r="D215" s="4" t="s">
        <v>572</v>
      </c>
      <c r="E215" s="213" t="s">
        <v>5</v>
      </c>
      <c r="F215" s="248" t="s">
        <v>415</v>
      </c>
      <c r="G215" s="37"/>
      <c r="H215" s="273">
        <v>0</v>
      </c>
      <c r="I215" s="271">
        <v>0</v>
      </c>
      <c r="J215" s="273">
        <v>0</v>
      </c>
      <c r="K215" s="271">
        <v>0</v>
      </c>
      <c r="L215" s="271">
        <v>0</v>
      </c>
      <c r="M215" s="273">
        <v>0</v>
      </c>
      <c r="N215" s="273">
        <v>0</v>
      </c>
      <c r="O215" s="273">
        <f t="shared" si="8"/>
        <v>0</v>
      </c>
      <c r="P215" s="37"/>
      <c r="Q215" s="273">
        <v>0</v>
      </c>
      <c r="R215" s="271">
        <v>0</v>
      </c>
      <c r="S215" s="273">
        <v>0</v>
      </c>
      <c r="T215" s="271">
        <v>0</v>
      </c>
      <c r="U215" s="271">
        <v>0</v>
      </c>
      <c r="V215" s="273">
        <v>0</v>
      </c>
      <c r="W215" s="273"/>
      <c r="X215" s="273">
        <f t="shared" si="9"/>
        <v>0</v>
      </c>
      <c r="Z215" s="63"/>
      <c r="AA215" s="289"/>
    </row>
    <row r="216" spans="1:27">
      <c r="A216" s="231">
        <v>2317</v>
      </c>
      <c r="B216" s="4">
        <v>103337</v>
      </c>
      <c r="C216" s="4" t="s">
        <v>574</v>
      </c>
      <c r="D216" s="4" t="s">
        <v>575</v>
      </c>
      <c r="E216" s="213" t="s">
        <v>5</v>
      </c>
      <c r="F216" s="248" t="s">
        <v>415</v>
      </c>
      <c r="G216" s="37"/>
      <c r="H216" s="273">
        <v>238778.1</v>
      </c>
      <c r="I216" s="271">
        <v>0</v>
      </c>
      <c r="J216" s="273">
        <v>6258.6</v>
      </c>
      <c r="K216" s="271">
        <v>654</v>
      </c>
      <c r="L216" s="271">
        <v>2590.8000000000002</v>
      </c>
      <c r="M216" s="273">
        <v>0</v>
      </c>
      <c r="N216" s="273">
        <v>0</v>
      </c>
      <c r="O216" s="273">
        <f t="shared" si="8"/>
        <v>248281.5</v>
      </c>
      <c r="P216" s="37"/>
      <c r="Q216" s="273">
        <v>214954.5</v>
      </c>
      <c r="R216" s="271">
        <v>0</v>
      </c>
      <c r="S216" s="273">
        <v>9050.5615384615376</v>
      </c>
      <c r="T216" s="271">
        <v>1635</v>
      </c>
      <c r="U216" s="271">
        <v>2780.7</v>
      </c>
      <c r="V216" s="273">
        <v>0</v>
      </c>
      <c r="W216" s="273"/>
      <c r="X216" s="273">
        <f t="shared" si="9"/>
        <v>228420.76153846155</v>
      </c>
      <c r="Z216" s="63"/>
      <c r="AA216" s="289"/>
    </row>
    <row r="217" spans="1:27">
      <c r="A217" s="231">
        <v>3421</v>
      </c>
      <c r="B217" s="4">
        <v>133996</v>
      </c>
      <c r="C217" s="4" t="s">
        <v>577</v>
      </c>
      <c r="D217" s="4" t="s">
        <v>578</v>
      </c>
      <c r="E217" s="213" t="s">
        <v>5</v>
      </c>
      <c r="F217" s="248" t="s">
        <v>415</v>
      </c>
      <c r="G217" s="37"/>
      <c r="H217" s="273">
        <v>0</v>
      </c>
      <c r="I217" s="271">
        <v>0</v>
      </c>
      <c r="J217" s="273">
        <v>0</v>
      </c>
      <c r="K217" s="271">
        <v>0</v>
      </c>
      <c r="L217" s="271">
        <v>0</v>
      </c>
      <c r="M217" s="273">
        <v>0</v>
      </c>
      <c r="N217" s="273">
        <v>0</v>
      </c>
      <c r="O217" s="273">
        <f t="shared" si="8"/>
        <v>0</v>
      </c>
      <c r="P217" s="37"/>
      <c r="Q217" s="273">
        <v>0</v>
      </c>
      <c r="R217" s="271">
        <v>0</v>
      </c>
      <c r="S217" s="273">
        <v>0</v>
      </c>
      <c r="T217" s="271">
        <v>0</v>
      </c>
      <c r="U217" s="271">
        <v>0</v>
      </c>
      <c r="V217" s="273">
        <v>0</v>
      </c>
      <c r="W217" s="273"/>
      <c r="X217" s="273">
        <f t="shared" si="9"/>
        <v>0</v>
      </c>
      <c r="Z217" s="63"/>
      <c r="AA217" s="289"/>
    </row>
    <row r="218" spans="1:27">
      <c r="A218" s="231">
        <v>2184</v>
      </c>
      <c r="B218" s="4">
        <v>103262</v>
      </c>
      <c r="C218" s="4" t="s">
        <v>824</v>
      </c>
      <c r="D218" s="4" t="s">
        <v>825</v>
      </c>
      <c r="E218" s="213" t="s">
        <v>5</v>
      </c>
      <c r="F218" s="248" t="s">
        <v>415</v>
      </c>
      <c r="G218" s="37"/>
      <c r="H218" s="273">
        <v>69511.5</v>
      </c>
      <c r="I218" s="271">
        <v>0</v>
      </c>
      <c r="J218" s="273">
        <v>1208.3999999999999</v>
      </c>
      <c r="K218" s="271">
        <v>0</v>
      </c>
      <c r="L218" s="271">
        <v>785.4</v>
      </c>
      <c r="M218" s="273">
        <v>0</v>
      </c>
      <c r="N218" s="273">
        <v>0</v>
      </c>
      <c r="O218" s="273">
        <f t="shared" si="8"/>
        <v>71505.299999999988</v>
      </c>
      <c r="P218" s="37"/>
      <c r="Q218" s="273">
        <v>53227.5</v>
      </c>
      <c r="R218" s="271">
        <v>0</v>
      </c>
      <c r="S218" s="273">
        <v>981.39130434782601</v>
      </c>
      <c r="T218" s="271">
        <v>1635</v>
      </c>
      <c r="U218" s="271">
        <v>362.7</v>
      </c>
      <c r="V218" s="273">
        <v>0</v>
      </c>
      <c r="W218" s="273"/>
      <c r="X218" s="273">
        <f t="shared" si="9"/>
        <v>56206.591304347821</v>
      </c>
      <c r="Z218" s="63"/>
      <c r="AA218" s="289"/>
    </row>
    <row r="219" spans="1:27" s="224" customFormat="1" ht="15" thickBot="1">
      <c r="A219" s="235"/>
      <c r="B219" s="220"/>
      <c r="C219" s="220"/>
      <c r="D219" s="227" t="s">
        <v>1095</v>
      </c>
      <c r="E219" s="221"/>
      <c r="F219" s="250"/>
      <c r="G219" s="222"/>
      <c r="H219" s="275">
        <f t="shared" ref="H219:O219" si="10">SUM(H73:H218)</f>
        <v>13897857.767999997</v>
      </c>
      <c r="I219" s="275">
        <f t="shared" si="10"/>
        <v>2958408.0000000005</v>
      </c>
      <c r="J219" s="275">
        <f t="shared" si="10"/>
        <v>506643.35999999993</v>
      </c>
      <c r="K219" s="275">
        <f t="shared" si="10"/>
        <v>173964</v>
      </c>
      <c r="L219" s="275">
        <f t="shared" si="10"/>
        <v>501656.39999999985</v>
      </c>
      <c r="M219" s="275">
        <f t="shared" si="10"/>
        <v>5997468.6466666665</v>
      </c>
      <c r="N219" s="275">
        <f t="shared" si="10"/>
        <v>151970</v>
      </c>
      <c r="O219" s="275">
        <f t="shared" si="10"/>
        <v>24187968.174666673</v>
      </c>
      <c r="P219" s="260"/>
      <c r="Q219" s="275">
        <f t="shared" ref="Q219:X219" si="11">SUM(Q73:Q218)</f>
        <v>12059512.860000001</v>
      </c>
      <c r="R219" s="275">
        <f t="shared" si="11"/>
        <v>2282911.6799999992</v>
      </c>
      <c r="S219" s="275">
        <f t="shared" si="11"/>
        <v>754942.50139778352</v>
      </c>
      <c r="T219" s="275">
        <f t="shared" si="11"/>
        <v>465975</v>
      </c>
      <c r="U219" s="275">
        <f t="shared" si="11"/>
        <v>391502.10000000003</v>
      </c>
      <c r="V219" s="275">
        <f t="shared" si="11"/>
        <v>4499313.9597030738</v>
      </c>
      <c r="W219" s="275">
        <f t="shared" si="11"/>
        <v>0</v>
      </c>
      <c r="X219" s="275">
        <f t="shared" si="11"/>
        <v>20454158.101100851</v>
      </c>
      <c r="Z219" s="63"/>
      <c r="AA219" s="289"/>
    </row>
    <row r="220" spans="1:27" ht="15" thickTop="1">
      <c r="A220" s="231"/>
      <c r="B220" s="4"/>
      <c r="C220" s="4"/>
      <c r="D220" s="4"/>
      <c r="E220" s="4"/>
      <c r="F220" s="232"/>
      <c r="H220" s="271"/>
      <c r="I220" s="271"/>
      <c r="J220" s="271"/>
      <c r="K220" s="271"/>
      <c r="L220" s="271"/>
      <c r="M220" s="271"/>
      <c r="N220" s="271"/>
      <c r="O220" s="271"/>
      <c r="Q220" s="271"/>
      <c r="R220" s="271"/>
      <c r="S220" s="271"/>
      <c r="T220" s="271"/>
      <c r="U220" s="271"/>
      <c r="V220" s="271"/>
      <c r="W220" s="271"/>
      <c r="X220" s="271"/>
    </row>
    <row r="221" spans="1:27" ht="15" thickBot="1">
      <c r="A221" s="237"/>
      <c r="B221" s="238"/>
      <c r="C221" s="238"/>
      <c r="D221" s="239"/>
      <c r="E221" s="251"/>
      <c r="F221" s="252"/>
      <c r="G221" s="253" t="s">
        <v>1097</v>
      </c>
      <c r="H221" s="276">
        <f t="shared" ref="H221:O221" si="12">H71+H219</f>
        <v>17502688.927999996</v>
      </c>
      <c r="I221" s="276">
        <f t="shared" si="12"/>
        <v>3272119.2000000007</v>
      </c>
      <c r="J221" s="276">
        <f t="shared" si="12"/>
        <v>598183.07999999996</v>
      </c>
      <c r="K221" s="276">
        <f t="shared" si="12"/>
        <v>204484</v>
      </c>
      <c r="L221" s="276">
        <f t="shared" si="12"/>
        <v>596679.59999999986</v>
      </c>
      <c r="M221" s="276">
        <f t="shared" si="12"/>
        <v>6515712.21</v>
      </c>
      <c r="N221" s="276">
        <f t="shared" si="12"/>
        <v>168350</v>
      </c>
      <c r="O221" s="276">
        <f t="shared" si="12"/>
        <v>28858217.018000007</v>
      </c>
      <c r="P221" s="208"/>
      <c r="Q221" s="276">
        <f t="shared" ref="Q221:X221" si="13">Q71+Q219</f>
        <v>15274341.060000002</v>
      </c>
      <c r="R221" s="276">
        <f t="shared" si="13"/>
        <v>2507671.5299999993</v>
      </c>
      <c r="S221" s="276">
        <f t="shared" si="13"/>
        <v>915616.58597600053</v>
      </c>
      <c r="T221" s="276">
        <f t="shared" si="13"/>
        <v>556990</v>
      </c>
      <c r="U221" s="276">
        <f t="shared" si="13"/>
        <v>459420</v>
      </c>
      <c r="V221" s="276">
        <f t="shared" si="13"/>
        <v>4978984.4350662762</v>
      </c>
      <c r="W221" s="276">
        <f t="shared" si="13"/>
        <v>0</v>
      </c>
      <c r="X221" s="276">
        <f t="shared" si="13"/>
        <v>24693023.611042269</v>
      </c>
      <c r="Z221" s="63"/>
      <c r="AA221" s="289"/>
    </row>
  </sheetData>
  <autoFilter ref="A7:P219" xr:uid="{28D720FD-B264-4603-8A3F-AC523F45178E}"/>
  <mergeCells count="3">
    <mergeCell ref="H6:O6"/>
    <mergeCell ref="H4:O4"/>
    <mergeCell ref="Q6:X6"/>
  </mergeCells>
  <conditionalFormatting sqref="A7:F7 P7 A8:E8 E9:E219">
    <cfRule type="cellIs" dxfId="7" priority="2" operator="lessThan">
      <formula>0</formula>
    </cfRule>
  </conditionalFormatting>
  <hyperlinks>
    <hyperlink ref="H4:O4" r:id="rId1" display="Y:\Schools and Fair Funding Team Documents\Web Uploads Budgets\Early Years 2024-25 Upload\Early Years Single Funding Formula Indicative Allocation 2425 v2.xlsx" xr:uid="{C16927FB-C7B6-4314-B675-C197ABD7D6D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B3AF0-381A-4714-9DA6-011AEF3D4592}">
  <sheetPr>
    <tabColor theme="5"/>
  </sheetPr>
  <dimension ref="A1:O221"/>
  <sheetViews>
    <sheetView zoomScale="80" zoomScaleNormal="80" workbookViewId="0">
      <selection activeCell="J20" sqref="J20"/>
    </sheetView>
  </sheetViews>
  <sheetFormatPr defaultRowHeight="14.5"/>
  <cols>
    <col min="1" max="1" width="6.54296875" customWidth="1"/>
    <col min="2" max="2" width="7.7265625" bestFit="1" customWidth="1"/>
    <col min="3" max="3" width="11" bestFit="1" customWidth="1"/>
    <col min="4" max="4" width="66.26953125" customWidth="1"/>
    <col min="5" max="5" width="17.453125" bestFit="1" customWidth="1"/>
    <col min="6" max="6" width="14.7265625" customWidth="1"/>
    <col min="7" max="7" width="14.26953125" bestFit="1" customWidth="1"/>
    <col min="8" max="11" width="18.26953125" customWidth="1"/>
    <col min="13" max="13" width="16.54296875" bestFit="1" customWidth="1"/>
    <col min="14" max="14" width="14.26953125" customWidth="1"/>
  </cols>
  <sheetData>
    <row r="1" spans="1:15">
      <c r="A1" s="1" t="s">
        <v>1151</v>
      </c>
      <c r="B1" s="1"/>
    </row>
    <row r="2" spans="1:1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</row>
    <row r="3" spans="1:15">
      <c r="D3" s="72"/>
      <c r="G3" s="72" t="s">
        <v>213</v>
      </c>
      <c r="H3" s="4" t="s">
        <v>61</v>
      </c>
      <c r="I3" s="4"/>
    </row>
    <row r="4" spans="1:15">
      <c r="D4" s="72"/>
      <c r="G4" s="72" t="s">
        <v>1103</v>
      </c>
      <c r="H4" s="424"/>
      <c r="I4" s="425"/>
    </row>
    <row r="5" spans="1:15">
      <c r="D5" s="72"/>
      <c r="G5" s="72"/>
    </row>
    <row r="6" spans="1:15" ht="15" thickBot="1">
      <c r="H6" s="413" t="s">
        <v>220</v>
      </c>
      <c r="I6" s="413"/>
      <c r="J6" s="413"/>
      <c r="K6" s="413"/>
      <c r="M6" s="4" t="s">
        <v>1183</v>
      </c>
      <c r="N6" s="376" t="s">
        <v>1195</v>
      </c>
    </row>
    <row r="7" spans="1:15" ht="44" thickBot="1">
      <c r="A7" s="196" t="s">
        <v>0</v>
      </c>
      <c r="B7" s="197" t="s">
        <v>7</v>
      </c>
      <c r="C7" s="198" t="s">
        <v>1</v>
      </c>
      <c r="D7" s="199" t="s">
        <v>2</v>
      </c>
      <c r="E7" s="198" t="s">
        <v>1091</v>
      </c>
      <c r="F7" s="199" t="s">
        <v>1092</v>
      </c>
      <c r="G7" s="241"/>
      <c r="H7" s="196" t="s">
        <v>1149</v>
      </c>
      <c r="I7" s="197" t="s">
        <v>1154</v>
      </c>
      <c r="J7" s="198" t="s">
        <v>1153</v>
      </c>
      <c r="K7" s="199" t="s">
        <v>1152</v>
      </c>
      <c r="M7" s="281" t="s">
        <v>1184</v>
      </c>
      <c r="N7" s="281" t="s">
        <v>1194</v>
      </c>
    </row>
    <row r="8" spans="1:15">
      <c r="A8" s="230">
        <v>1017</v>
      </c>
      <c r="B8" s="205">
        <v>103130</v>
      </c>
      <c r="C8" s="205" t="s">
        <v>232</v>
      </c>
      <c r="D8" s="205" t="s">
        <v>233</v>
      </c>
      <c r="E8" s="213" t="s">
        <v>180</v>
      </c>
      <c r="F8" s="247" t="s">
        <v>229</v>
      </c>
      <c r="G8" s="206"/>
      <c r="H8" s="271">
        <v>3291.75</v>
      </c>
      <c r="I8" s="271">
        <v>3291.75</v>
      </c>
      <c r="J8" s="244">
        <v>0</v>
      </c>
      <c r="K8" s="290">
        <f>I8+J8</f>
        <v>3291.75</v>
      </c>
      <c r="L8" s="37"/>
      <c r="M8" s="369">
        <v>24725</v>
      </c>
      <c r="N8" s="273"/>
    </row>
    <row r="9" spans="1:15">
      <c r="A9" s="231">
        <v>2300</v>
      </c>
      <c r="B9" s="4">
        <v>103324</v>
      </c>
      <c r="C9" s="4" t="s">
        <v>235</v>
      </c>
      <c r="D9" s="4" t="s">
        <v>236</v>
      </c>
      <c r="E9" s="213" t="s">
        <v>5</v>
      </c>
      <c r="F9" s="248" t="s">
        <v>229</v>
      </c>
      <c r="G9" s="37"/>
      <c r="H9" s="271">
        <v>18745.650000000001</v>
      </c>
      <c r="I9" s="271">
        <v>18745.650000000001</v>
      </c>
      <c r="J9" s="244">
        <v>0</v>
      </c>
      <c r="K9" s="290">
        <f t="shared" ref="K9:K70" si="0">I9+J9</f>
        <v>18745.650000000001</v>
      </c>
      <c r="L9" s="37"/>
      <c r="M9" s="369">
        <v>0</v>
      </c>
      <c r="N9" s="273"/>
    </row>
    <row r="10" spans="1:15">
      <c r="A10" s="231">
        <v>7016</v>
      </c>
      <c r="B10" s="4">
        <v>103606</v>
      </c>
      <c r="C10" s="4" t="s">
        <v>238</v>
      </c>
      <c r="D10" s="4" t="s">
        <v>239</v>
      </c>
      <c r="E10" s="213" t="s">
        <v>1093</v>
      </c>
      <c r="F10" s="248" t="s">
        <v>229</v>
      </c>
      <c r="G10" s="37"/>
      <c r="H10" s="271">
        <v>0</v>
      </c>
      <c r="I10" s="271">
        <v>5139.75</v>
      </c>
      <c r="J10" s="244">
        <v>-439.75</v>
      </c>
      <c r="K10" s="290">
        <f t="shared" si="0"/>
        <v>4700</v>
      </c>
      <c r="L10" s="37"/>
      <c r="M10" s="369">
        <v>0</v>
      </c>
      <c r="N10" s="273"/>
    </row>
    <row r="11" spans="1:15">
      <c r="A11" s="231">
        <v>5413</v>
      </c>
      <c r="B11" s="4">
        <v>103560</v>
      </c>
      <c r="C11" s="4" t="s">
        <v>241</v>
      </c>
      <c r="D11" s="4" t="s">
        <v>242</v>
      </c>
      <c r="E11" s="213" t="s">
        <v>6</v>
      </c>
      <c r="F11" s="248" t="s">
        <v>229</v>
      </c>
      <c r="G11" s="37"/>
      <c r="H11" s="271">
        <v>0</v>
      </c>
      <c r="I11" s="271">
        <v>0</v>
      </c>
      <c r="J11" s="244">
        <v>0</v>
      </c>
      <c r="K11" s="290">
        <f t="shared" si="0"/>
        <v>0</v>
      </c>
      <c r="L11" s="37"/>
      <c r="M11" s="369">
        <v>0</v>
      </c>
      <c r="N11" s="273"/>
    </row>
    <row r="12" spans="1:15">
      <c r="A12" s="231">
        <v>2402</v>
      </c>
      <c r="B12" s="4">
        <v>103342</v>
      </c>
      <c r="C12" s="4" t="s">
        <v>244</v>
      </c>
      <c r="D12" s="4" t="s">
        <v>245</v>
      </c>
      <c r="E12" s="213" t="s">
        <v>5</v>
      </c>
      <c r="F12" s="248" t="s">
        <v>229</v>
      </c>
      <c r="G12" s="37"/>
      <c r="H12" s="271">
        <v>5139.75</v>
      </c>
      <c r="I12" s="271">
        <v>5139.75</v>
      </c>
      <c r="J12" s="244">
        <v>0</v>
      </c>
      <c r="K12" s="290">
        <f t="shared" si="0"/>
        <v>5139.75</v>
      </c>
      <c r="L12" s="37"/>
      <c r="M12" s="369">
        <v>129803.52564102563</v>
      </c>
      <c r="N12" s="273"/>
    </row>
    <row r="13" spans="1:15">
      <c r="A13" s="231">
        <v>2401</v>
      </c>
      <c r="B13" s="4">
        <v>103341</v>
      </c>
      <c r="C13" s="4" t="s">
        <v>247</v>
      </c>
      <c r="D13" s="4" t="s">
        <v>248</v>
      </c>
      <c r="E13" s="213" t="s">
        <v>5</v>
      </c>
      <c r="F13" s="248" t="s">
        <v>229</v>
      </c>
      <c r="G13" s="37"/>
      <c r="H13" s="271">
        <v>9471</v>
      </c>
      <c r="I13" s="271">
        <v>9471</v>
      </c>
      <c r="J13" s="244">
        <v>0</v>
      </c>
      <c r="K13" s="290">
        <f t="shared" si="0"/>
        <v>9471</v>
      </c>
      <c r="L13" s="37"/>
      <c r="M13" s="369">
        <v>0</v>
      </c>
      <c r="N13" s="273"/>
    </row>
    <row r="14" spans="1:15">
      <c r="A14" s="231">
        <v>4115</v>
      </c>
      <c r="B14" s="4">
        <v>103493</v>
      </c>
      <c r="C14" s="4" t="s">
        <v>250</v>
      </c>
      <c r="D14" s="4" t="s">
        <v>251</v>
      </c>
      <c r="E14" s="213" t="s">
        <v>6</v>
      </c>
      <c r="F14" s="248" t="s">
        <v>229</v>
      </c>
      <c r="G14" s="37"/>
      <c r="H14" s="271">
        <v>18745.650000000001</v>
      </c>
      <c r="I14" s="271">
        <v>18745.650000000001</v>
      </c>
      <c r="J14" s="244">
        <v>0</v>
      </c>
      <c r="K14" s="290">
        <f t="shared" si="0"/>
        <v>18745.650000000001</v>
      </c>
      <c r="L14" s="37"/>
      <c r="M14" s="369">
        <v>87281.143988461525</v>
      </c>
      <c r="N14" s="273"/>
    </row>
    <row r="15" spans="1:15">
      <c r="A15" s="231">
        <v>2030</v>
      </c>
      <c r="B15" s="4">
        <v>103172</v>
      </c>
      <c r="C15" s="4" t="s">
        <v>253</v>
      </c>
      <c r="D15" s="4" t="s">
        <v>254</v>
      </c>
      <c r="E15" s="213" t="s">
        <v>5</v>
      </c>
      <c r="F15" s="248" t="s">
        <v>229</v>
      </c>
      <c r="G15" s="37"/>
      <c r="H15" s="271">
        <v>18745.650000000001</v>
      </c>
      <c r="I15" s="271">
        <v>18745.650000000001</v>
      </c>
      <c r="J15" s="244">
        <v>0</v>
      </c>
      <c r="K15" s="290">
        <f t="shared" si="0"/>
        <v>18745.650000000001</v>
      </c>
      <c r="L15" s="37"/>
      <c r="M15" s="369">
        <v>0</v>
      </c>
      <c r="N15" s="273"/>
    </row>
    <row r="16" spans="1:15">
      <c r="A16" s="231">
        <v>2238</v>
      </c>
      <c r="B16" s="4">
        <v>103288</v>
      </c>
      <c r="C16" s="4" t="s">
        <v>256</v>
      </c>
      <c r="D16" s="4" t="s">
        <v>257</v>
      </c>
      <c r="E16" s="213" t="s">
        <v>5</v>
      </c>
      <c r="F16" s="248" t="s">
        <v>229</v>
      </c>
      <c r="G16" s="37"/>
      <c r="H16" s="271">
        <v>5139.75</v>
      </c>
      <c r="I16" s="271">
        <v>5139.75</v>
      </c>
      <c r="J16" s="244">
        <v>0</v>
      </c>
      <c r="K16" s="290">
        <f t="shared" si="0"/>
        <v>5139.75</v>
      </c>
      <c r="L16" s="37"/>
      <c r="M16" s="369">
        <v>0</v>
      </c>
      <c r="N16" s="273"/>
    </row>
    <row r="17" spans="1:14">
      <c r="A17" s="231">
        <v>2236</v>
      </c>
      <c r="B17" s="4">
        <v>103286</v>
      </c>
      <c r="C17" s="4" t="s">
        <v>259</v>
      </c>
      <c r="D17" s="4" t="s">
        <v>260</v>
      </c>
      <c r="E17" s="213" t="s">
        <v>5</v>
      </c>
      <c r="F17" s="248" t="s">
        <v>229</v>
      </c>
      <c r="G17" s="37"/>
      <c r="H17" s="271">
        <v>5139.75</v>
      </c>
      <c r="I17" s="271">
        <v>5139.75</v>
      </c>
      <c r="J17" s="244">
        <v>0</v>
      </c>
      <c r="K17" s="290">
        <f t="shared" si="0"/>
        <v>5139.75</v>
      </c>
      <c r="L17" s="37"/>
      <c r="M17" s="369">
        <v>0</v>
      </c>
      <c r="N17" s="273"/>
    </row>
    <row r="18" spans="1:14">
      <c r="A18" s="231">
        <v>4801</v>
      </c>
      <c r="B18" s="4">
        <v>103539</v>
      </c>
      <c r="C18" s="4" t="s">
        <v>262</v>
      </c>
      <c r="D18" s="4" t="s">
        <v>263</v>
      </c>
      <c r="E18" s="213" t="s">
        <v>6</v>
      </c>
      <c r="F18" s="248" t="s">
        <v>229</v>
      </c>
      <c r="G18" s="37"/>
      <c r="H18" s="271">
        <v>24312.75</v>
      </c>
      <c r="I18" s="271">
        <v>24312.75</v>
      </c>
      <c r="J18" s="244">
        <v>0</v>
      </c>
      <c r="K18" s="290">
        <f t="shared" si="0"/>
        <v>24312.75</v>
      </c>
      <c r="L18" s="37"/>
      <c r="M18" s="369">
        <v>0</v>
      </c>
      <c r="N18" s="273"/>
    </row>
    <row r="19" spans="1:14">
      <c r="A19" s="231">
        <v>2312</v>
      </c>
      <c r="B19" s="4">
        <v>103332</v>
      </c>
      <c r="C19" s="4" t="s">
        <v>265</v>
      </c>
      <c r="D19" s="4" t="s">
        <v>266</v>
      </c>
      <c r="E19" s="213" t="s">
        <v>5</v>
      </c>
      <c r="F19" s="248" t="s">
        <v>229</v>
      </c>
      <c r="G19" s="37"/>
      <c r="H19" s="271">
        <v>9471</v>
      </c>
      <c r="I19" s="271">
        <v>9471</v>
      </c>
      <c r="J19" s="244">
        <v>0</v>
      </c>
      <c r="K19" s="290">
        <f t="shared" si="0"/>
        <v>9471</v>
      </c>
      <c r="L19" s="37"/>
      <c r="M19" s="369">
        <v>0</v>
      </c>
      <c r="N19" s="273"/>
    </row>
    <row r="20" spans="1:14">
      <c r="A20" s="231">
        <v>7051</v>
      </c>
      <c r="B20" s="4">
        <v>103626</v>
      </c>
      <c r="C20" s="4" t="s">
        <v>268</v>
      </c>
      <c r="D20" s="4" t="s">
        <v>269</v>
      </c>
      <c r="E20" s="213" t="s">
        <v>1093</v>
      </c>
      <c r="F20" s="248" t="s">
        <v>229</v>
      </c>
      <c r="G20" s="37"/>
      <c r="H20" s="271">
        <v>0</v>
      </c>
      <c r="I20" s="271">
        <v>0</v>
      </c>
      <c r="J20" s="244">
        <v>2775</v>
      </c>
      <c r="K20" s="290">
        <f t="shared" si="0"/>
        <v>2775</v>
      </c>
      <c r="L20" s="37"/>
      <c r="M20" s="369">
        <v>0</v>
      </c>
      <c r="N20" s="273"/>
    </row>
    <row r="21" spans="1:14">
      <c r="A21" s="231">
        <v>2251</v>
      </c>
      <c r="B21" s="4">
        <v>103298</v>
      </c>
      <c r="C21" s="4" t="s">
        <v>271</v>
      </c>
      <c r="D21" s="4" t="s">
        <v>272</v>
      </c>
      <c r="E21" s="213" t="s">
        <v>5</v>
      </c>
      <c r="F21" s="248" t="s">
        <v>229</v>
      </c>
      <c r="G21" s="37"/>
      <c r="H21" s="271">
        <v>9471</v>
      </c>
      <c r="I21" s="271">
        <v>9471</v>
      </c>
      <c r="J21" s="244">
        <v>0</v>
      </c>
      <c r="K21" s="290">
        <f t="shared" si="0"/>
        <v>9471</v>
      </c>
      <c r="L21" s="37"/>
      <c r="M21" s="369">
        <v>0</v>
      </c>
      <c r="N21" s="273"/>
    </row>
    <row r="22" spans="1:14">
      <c r="A22" s="231">
        <v>3002</v>
      </c>
      <c r="B22" s="4">
        <v>103397</v>
      </c>
      <c r="C22" s="4" t="s">
        <v>274</v>
      </c>
      <c r="D22" s="4" t="s">
        <v>275</v>
      </c>
      <c r="E22" s="213" t="s">
        <v>5</v>
      </c>
      <c r="F22" s="248" t="s">
        <v>229</v>
      </c>
      <c r="G22" s="37"/>
      <c r="H22" s="271">
        <v>5139.75</v>
      </c>
      <c r="I22" s="271">
        <v>5139.75</v>
      </c>
      <c r="J22" s="244">
        <v>0</v>
      </c>
      <c r="K22" s="290">
        <f t="shared" si="0"/>
        <v>5139.75</v>
      </c>
      <c r="L22" s="37"/>
      <c r="M22" s="369">
        <v>0</v>
      </c>
      <c r="N22" s="273"/>
    </row>
    <row r="23" spans="1:14">
      <c r="A23" s="231">
        <v>3319</v>
      </c>
      <c r="B23" s="4">
        <v>103423</v>
      </c>
      <c r="C23" s="4" t="s">
        <v>277</v>
      </c>
      <c r="D23" s="4" t="s">
        <v>278</v>
      </c>
      <c r="E23" s="213" t="s">
        <v>5</v>
      </c>
      <c r="F23" s="248" t="s">
        <v>229</v>
      </c>
      <c r="G23" s="37"/>
      <c r="H23" s="271">
        <v>9471</v>
      </c>
      <c r="I23" s="271">
        <v>9471</v>
      </c>
      <c r="J23" s="244">
        <v>0</v>
      </c>
      <c r="K23" s="290">
        <f t="shared" si="0"/>
        <v>9471</v>
      </c>
      <c r="L23" s="37"/>
      <c r="M23" s="369">
        <v>0</v>
      </c>
      <c r="N23" s="273"/>
    </row>
    <row r="24" spans="1:14">
      <c r="A24" s="231">
        <v>5416</v>
      </c>
      <c r="B24" s="4">
        <v>103563</v>
      </c>
      <c r="C24" s="4" t="s">
        <v>280</v>
      </c>
      <c r="D24" s="4" t="s">
        <v>281</v>
      </c>
      <c r="E24" s="213" t="s">
        <v>6</v>
      </c>
      <c r="F24" s="248" t="s">
        <v>229</v>
      </c>
      <c r="G24" s="37"/>
      <c r="H24" s="271">
        <v>0</v>
      </c>
      <c r="I24" s="271">
        <v>0</v>
      </c>
      <c r="J24" s="244">
        <v>31125.000000000004</v>
      </c>
      <c r="K24" s="290">
        <f t="shared" si="0"/>
        <v>31125.000000000004</v>
      </c>
      <c r="L24" s="37"/>
      <c r="M24" s="369">
        <v>0</v>
      </c>
      <c r="N24" s="273"/>
    </row>
    <row r="25" spans="1:14">
      <c r="A25" s="231">
        <v>2054</v>
      </c>
      <c r="B25" s="4">
        <v>103189</v>
      </c>
      <c r="C25" s="4" t="s">
        <v>283</v>
      </c>
      <c r="D25" s="4" t="s">
        <v>284</v>
      </c>
      <c r="E25" s="213" t="s">
        <v>5</v>
      </c>
      <c r="F25" s="248" t="s">
        <v>229</v>
      </c>
      <c r="G25" s="37"/>
      <c r="H25" s="271">
        <v>9471</v>
      </c>
      <c r="I25" s="271">
        <v>9471</v>
      </c>
      <c r="J25" s="244">
        <v>0</v>
      </c>
      <c r="K25" s="290">
        <f t="shared" si="0"/>
        <v>9471</v>
      </c>
      <c r="L25" s="37"/>
      <c r="M25" s="369">
        <v>0</v>
      </c>
      <c r="N25" s="273"/>
    </row>
    <row r="26" spans="1:14">
      <c r="A26" s="231">
        <v>2053</v>
      </c>
      <c r="B26" s="4">
        <v>103188</v>
      </c>
      <c r="C26" s="4" t="s">
        <v>286</v>
      </c>
      <c r="D26" s="4" t="s">
        <v>287</v>
      </c>
      <c r="E26" s="213" t="s">
        <v>5</v>
      </c>
      <c r="F26" s="248" t="s">
        <v>229</v>
      </c>
      <c r="G26" s="37"/>
      <c r="H26" s="271">
        <v>12566.4</v>
      </c>
      <c r="I26" s="271">
        <v>12566.4</v>
      </c>
      <c r="J26" s="244">
        <v>0</v>
      </c>
      <c r="K26" s="290">
        <f t="shared" si="0"/>
        <v>12566.4</v>
      </c>
      <c r="L26" s="37"/>
      <c r="M26" s="369">
        <v>0</v>
      </c>
      <c r="N26" s="273"/>
    </row>
    <row r="27" spans="1:14">
      <c r="A27" s="231">
        <v>2055</v>
      </c>
      <c r="B27" s="4">
        <v>103190</v>
      </c>
      <c r="C27" s="4" t="s">
        <v>289</v>
      </c>
      <c r="D27" s="4" t="s">
        <v>290</v>
      </c>
      <c r="E27" s="213" t="s">
        <v>5</v>
      </c>
      <c r="F27" s="248" t="s">
        <v>229</v>
      </c>
      <c r="G27" s="37"/>
      <c r="H27" s="271">
        <v>0</v>
      </c>
      <c r="I27" s="271">
        <v>0</v>
      </c>
      <c r="J27" s="244">
        <v>11075</v>
      </c>
      <c r="K27" s="290">
        <f t="shared" si="0"/>
        <v>11075</v>
      </c>
      <c r="L27" s="37"/>
      <c r="M27" s="369">
        <v>0</v>
      </c>
      <c r="N27" s="273"/>
    </row>
    <row r="28" spans="1:14">
      <c r="A28" s="231">
        <v>2486</v>
      </c>
      <c r="B28" s="4">
        <v>133759</v>
      </c>
      <c r="C28" s="4" t="s">
        <v>292</v>
      </c>
      <c r="D28" s="4" t="s">
        <v>293</v>
      </c>
      <c r="E28" s="213" t="s">
        <v>5</v>
      </c>
      <c r="F28" s="248" t="s">
        <v>229</v>
      </c>
      <c r="G28" s="37"/>
      <c r="H28" s="271">
        <v>0</v>
      </c>
      <c r="I28" s="271">
        <v>0</v>
      </c>
      <c r="J28" s="244">
        <v>4925</v>
      </c>
      <c r="K28" s="290">
        <f t="shared" si="0"/>
        <v>4925</v>
      </c>
      <c r="L28" s="37"/>
      <c r="M28" s="369">
        <v>0</v>
      </c>
      <c r="N28" s="273"/>
    </row>
    <row r="29" spans="1:14">
      <c r="A29" s="231">
        <v>2296</v>
      </c>
      <c r="B29" s="4">
        <v>103320</v>
      </c>
      <c r="C29" s="4" t="s">
        <v>295</v>
      </c>
      <c r="D29" s="4" t="s">
        <v>297</v>
      </c>
      <c r="E29" s="213" t="s">
        <v>5</v>
      </c>
      <c r="F29" s="248" t="s">
        <v>296</v>
      </c>
      <c r="G29" s="37"/>
      <c r="H29" s="271">
        <v>5139.75</v>
      </c>
      <c r="I29" s="271">
        <v>5139.75</v>
      </c>
      <c r="J29" s="244">
        <v>0</v>
      </c>
      <c r="K29" s="290">
        <f t="shared" si="0"/>
        <v>5139.75</v>
      </c>
      <c r="L29" s="37"/>
      <c r="M29" s="369">
        <v>0</v>
      </c>
      <c r="N29" s="273"/>
    </row>
    <row r="30" spans="1:14">
      <c r="A30" s="231">
        <v>2092</v>
      </c>
      <c r="B30" s="4">
        <v>103209</v>
      </c>
      <c r="C30" s="4" t="s">
        <v>299</v>
      </c>
      <c r="D30" s="4" t="s">
        <v>300</v>
      </c>
      <c r="E30" s="213" t="s">
        <v>5</v>
      </c>
      <c r="F30" s="248" t="s">
        <v>229</v>
      </c>
      <c r="G30" s="37"/>
      <c r="H30" s="271">
        <v>0</v>
      </c>
      <c r="I30" s="271">
        <v>0</v>
      </c>
      <c r="J30" s="244">
        <v>12100.000000000002</v>
      </c>
      <c r="K30" s="290">
        <f t="shared" si="0"/>
        <v>12100.000000000002</v>
      </c>
      <c r="L30" s="37"/>
      <c r="M30" s="369">
        <v>0</v>
      </c>
      <c r="N30" s="273"/>
    </row>
    <row r="31" spans="1:14">
      <c r="A31" s="231">
        <v>4201</v>
      </c>
      <c r="B31" s="4">
        <v>103503</v>
      </c>
      <c r="C31" s="4" t="s">
        <v>302</v>
      </c>
      <c r="D31" s="4" t="s">
        <v>303</v>
      </c>
      <c r="E31" s="213" t="s">
        <v>6</v>
      </c>
      <c r="F31" s="248" t="s">
        <v>229</v>
      </c>
      <c r="G31" s="37"/>
      <c r="H31" s="271">
        <v>0</v>
      </c>
      <c r="I31" s="271">
        <v>0</v>
      </c>
      <c r="J31" s="244">
        <v>30400.000000000004</v>
      </c>
      <c r="K31" s="290">
        <f t="shared" si="0"/>
        <v>30400.000000000004</v>
      </c>
      <c r="L31" s="37"/>
      <c r="M31" s="369">
        <v>0</v>
      </c>
      <c r="N31" s="273"/>
    </row>
    <row r="32" spans="1:14">
      <c r="A32" s="231">
        <v>4015</v>
      </c>
      <c r="B32" s="4">
        <v>103483</v>
      </c>
      <c r="C32" s="4" t="s">
        <v>305</v>
      </c>
      <c r="D32" s="4" t="s">
        <v>306</v>
      </c>
      <c r="E32" s="213" t="s">
        <v>6</v>
      </c>
      <c r="F32" s="248" t="s">
        <v>229</v>
      </c>
      <c r="G32" s="37"/>
      <c r="H32" s="271">
        <v>0</v>
      </c>
      <c r="I32" s="271">
        <v>0</v>
      </c>
      <c r="J32" s="244">
        <v>0</v>
      </c>
      <c r="K32" s="290">
        <f t="shared" si="0"/>
        <v>0</v>
      </c>
      <c r="L32" s="37"/>
      <c r="M32" s="369">
        <v>0</v>
      </c>
      <c r="N32" s="273"/>
    </row>
    <row r="33" spans="1:14">
      <c r="A33" s="231">
        <v>4223</v>
      </c>
      <c r="B33" s="4">
        <v>103509</v>
      </c>
      <c r="C33" s="4" t="s">
        <v>308</v>
      </c>
      <c r="D33" s="4" t="s">
        <v>309</v>
      </c>
      <c r="E33" s="213" t="s">
        <v>6</v>
      </c>
      <c r="F33" s="248" t="s">
        <v>229</v>
      </c>
      <c r="G33" s="37"/>
      <c r="H33" s="271">
        <v>0</v>
      </c>
      <c r="I33" s="271">
        <v>0</v>
      </c>
      <c r="J33" s="244">
        <v>0</v>
      </c>
      <c r="K33" s="290">
        <f t="shared" si="0"/>
        <v>0</v>
      </c>
      <c r="L33" s="37"/>
      <c r="M33" s="369">
        <v>0</v>
      </c>
      <c r="N33" s="273"/>
    </row>
    <row r="34" spans="1:14">
      <c r="A34" s="231">
        <v>2015</v>
      </c>
      <c r="B34" s="4">
        <v>134102</v>
      </c>
      <c r="C34" s="4" t="s">
        <v>311</v>
      </c>
      <c r="D34" s="4" t="s">
        <v>312</v>
      </c>
      <c r="E34" s="213" t="s">
        <v>5</v>
      </c>
      <c r="F34" s="248" t="s">
        <v>229</v>
      </c>
      <c r="G34" s="37"/>
      <c r="H34" s="271">
        <v>9471</v>
      </c>
      <c r="I34" s="271">
        <v>9471</v>
      </c>
      <c r="J34" s="244">
        <v>0</v>
      </c>
      <c r="K34" s="290">
        <f t="shared" si="0"/>
        <v>9471</v>
      </c>
      <c r="L34" s="37"/>
      <c r="M34" s="369">
        <v>0</v>
      </c>
      <c r="N34" s="273"/>
    </row>
    <row r="35" spans="1:14">
      <c r="A35" s="231">
        <v>2462</v>
      </c>
      <c r="B35" s="4">
        <v>103388</v>
      </c>
      <c r="C35" s="4" t="s">
        <v>314</v>
      </c>
      <c r="D35" s="4" t="s">
        <v>315</v>
      </c>
      <c r="E35" s="213" t="s">
        <v>5</v>
      </c>
      <c r="F35" s="248" t="s">
        <v>229</v>
      </c>
      <c r="G35" s="37"/>
      <c r="H35" s="271">
        <v>9471</v>
      </c>
      <c r="I35" s="271">
        <v>9471</v>
      </c>
      <c r="J35" s="244">
        <v>0</v>
      </c>
      <c r="K35" s="290">
        <f t="shared" si="0"/>
        <v>9471</v>
      </c>
      <c r="L35" s="37"/>
      <c r="M35" s="369">
        <v>0</v>
      </c>
      <c r="N35" s="273"/>
    </row>
    <row r="36" spans="1:14">
      <c r="A36" s="231">
        <v>2127</v>
      </c>
      <c r="B36" s="4">
        <v>103227</v>
      </c>
      <c r="C36" s="4" t="s">
        <v>317</v>
      </c>
      <c r="D36" s="4" t="s">
        <v>318</v>
      </c>
      <c r="E36" s="213" t="s">
        <v>5</v>
      </c>
      <c r="F36" s="248" t="s">
        <v>229</v>
      </c>
      <c r="G36" s="37"/>
      <c r="H36" s="271">
        <v>0</v>
      </c>
      <c r="I36" s="271">
        <v>0</v>
      </c>
      <c r="J36" s="244">
        <v>0</v>
      </c>
      <c r="K36" s="290">
        <f t="shared" si="0"/>
        <v>0</v>
      </c>
      <c r="L36" s="37"/>
      <c r="M36" s="369">
        <v>0</v>
      </c>
      <c r="N36" s="273"/>
    </row>
    <row r="37" spans="1:14">
      <c r="A37" s="231">
        <v>2129</v>
      </c>
      <c r="B37" s="4">
        <v>103229</v>
      </c>
      <c r="C37" s="4" t="s">
        <v>320</v>
      </c>
      <c r="D37" s="4" t="s">
        <v>321</v>
      </c>
      <c r="E37" s="213" t="s">
        <v>5</v>
      </c>
      <c r="F37" s="248" t="s">
        <v>229</v>
      </c>
      <c r="G37" s="37"/>
      <c r="H37" s="271">
        <v>0</v>
      </c>
      <c r="I37" s="271">
        <v>0</v>
      </c>
      <c r="J37" s="244">
        <v>6525</v>
      </c>
      <c r="K37" s="290">
        <f t="shared" si="0"/>
        <v>6525</v>
      </c>
      <c r="L37" s="37"/>
      <c r="M37" s="369">
        <v>60355.769230769227</v>
      </c>
      <c r="N37" s="273"/>
    </row>
    <row r="38" spans="1:14">
      <c r="A38" s="231">
        <v>2128</v>
      </c>
      <c r="B38" s="4">
        <v>103228</v>
      </c>
      <c r="C38" s="4" t="s">
        <v>323</v>
      </c>
      <c r="D38" s="4" t="s">
        <v>324</v>
      </c>
      <c r="E38" s="213" t="s">
        <v>5</v>
      </c>
      <c r="F38" s="248" t="s">
        <v>229</v>
      </c>
      <c r="G38" s="37"/>
      <c r="H38" s="271">
        <v>9471</v>
      </c>
      <c r="I38" s="271">
        <v>9471</v>
      </c>
      <c r="J38" s="244">
        <v>0</v>
      </c>
      <c r="K38" s="290">
        <f t="shared" si="0"/>
        <v>9471</v>
      </c>
      <c r="L38" s="37"/>
      <c r="M38" s="369">
        <v>63506.08974358975</v>
      </c>
      <c r="N38" s="273"/>
    </row>
    <row r="39" spans="1:14">
      <c r="A39" s="231">
        <v>2133</v>
      </c>
      <c r="B39" s="4">
        <v>103233</v>
      </c>
      <c r="C39" s="4" t="s">
        <v>326</v>
      </c>
      <c r="D39" s="4" t="s">
        <v>327</v>
      </c>
      <c r="E39" s="213" t="s">
        <v>5</v>
      </c>
      <c r="F39" s="248" t="s">
        <v>229</v>
      </c>
      <c r="G39" s="37"/>
      <c r="H39" s="271">
        <v>9471</v>
      </c>
      <c r="I39" s="271">
        <v>9471</v>
      </c>
      <c r="J39" s="244">
        <v>0</v>
      </c>
      <c r="K39" s="290">
        <f t="shared" si="0"/>
        <v>9471</v>
      </c>
      <c r="L39" s="37"/>
      <c r="M39" s="369">
        <v>0</v>
      </c>
      <c r="N39" s="273"/>
    </row>
    <row r="40" spans="1:14">
      <c r="A40" s="231">
        <v>3322</v>
      </c>
      <c r="B40" s="4">
        <v>103426</v>
      </c>
      <c r="C40" s="4" t="s">
        <v>329</v>
      </c>
      <c r="D40" s="4" t="s">
        <v>330</v>
      </c>
      <c r="E40" s="213" t="s">
        <v>5</v>
      </c>
      <c r="F40" s="248" t="s">
        <v>229</v>
      </c>
      <c r="G40" s="37"/>
      <c r="H40" s="271">
        <v>5139.75</v>
      </c>
      <c r="I40" s="271">
        <v>5139.75</v>
      </c>
      <c r="J40" s="244">
        <v>0</v>
      </c>
      <c r="K40" s="290">
        <f t="shared" si="0"/>
        <v>5139.75</v>
      </c>
      <c r="L40" s="37"/>
      <c r="M40" s="369">
        <v>0</v>
      </c>
      <c r="N40" s="273"/>
    </row>
    <row r="41" spans="1:14">
      <c r="A41" s="231">
        <v>2416</v>
      </c>
      <c r="B41" s="4">
        <v>103351</v>
      </c>
      <c r="C41" s="4" t="s">
        <v>332</v>
      </c>
      <c r="D41" s="4" t="s">
        <v>333</v>
      </c>
      <c r="E41" s="213" t="s">
        <v>5</v>
      </c>
      <c r="F41" s="248" t="s">
        <v>229</v>
      </c>
      <c r="G41" s="37"/>
      <c r="H41" s="271">
        <v>0</v>
      </c>
      <c r="I41" s="271">
        <v>0</v>
      </c>
      <c r="J41" s="244">
        <v>10375</v>
      </c>
      <c r="K41" s="290">
        <f t="shared" si="0"/>
        <v>10375</v>
      </c>
      <c r="L41" s="37"/>
      <c r="M41" s="369">
        <v>0</v>
      </c>
      <c r="N41" s="273"/>
    </row>
    <row r="42" spans="1:14">
      <c r="A42" s="231">
        <v>4245</v>
      </c>
      <c r="B42" s="4">
        <v>103519</v>
      </c>
      <c r="C42" s="4" t="s">
        <v>335</v>
      </c>
      <c r="D42" s="4" t="s">
        <v>336</v>
      </c>
      <c r="E42" s="213" t="s">
        <v>6</v>
      </c>
      <c r="F42" s="248" t="s">
        <v>229</v>
      </c>
      <c r="G42" s="37"/>
      <c r="H42" s="271">
        <v>0</v>
      </c>
      <c r="I42" s="271">
        <v>0</v>
      </c>
      <c r="J42" s="244">
        <v>36450</v>
      </c>
      <c r="K42" s="290">
        <f t="shared" si="0"/>
        <v>36450</v>
      </c>
      <c r="L42" s="37"/>
      <c r="M42" s="369">
        <v>0</v>
      </c>
      <c r="N42" s="273"/>
    </row>
    <row r="43" spans="1:14">
      <c r="A43" s="231">
        <v>7053</v>
      </c>
      <c r="B43" s="4">
        <v>103628</v>
      </c>
      <c r="C43" s="4" t="s">
        <v>338</v>
      </c>
      <c r="D43" s="4" t="s">
        <v>339</v>
      </c>
      <c r="E43" s="213" t="s">
        <v>1093</v>
      </c>
      <c r="F43" s="248" t="s">
        <v>229</v>
      </c>
      <c r="G43" s="37"/>
      <c r="H43" s="271">
        <v>3291.75</v>
      </c>
      <c r="I43" s="271">
        <v>5139.75</v>
      </c>
      <c r="J43" s="244">
        <v>0</v>
      </c>
      <c r="K43" s="290">
        <f t="shared" si="0"/>
        <v>5139.75</v>
      </c>
      <c r="L43" s="37"/>
      <c r="M43" s="369">
        <v>0</v>
      </c>
      <c r="N43" s="273"/>
    </row>
    <row r="44" spans="1:14">
      <c r="A44" s="231">
        <v>4173</v>
      </c>
      <c r="B44" s="4">
        <v>103497</v>
      </c>
      <c r="C44" s="4" t="s">
        <v>341</v>
      </c>
      <c r="D44" s="4" t="s">
        <v>342</v>
      </c>
      <c r="E44" s="213" t="s">
        <v>6</v>
      </c>
      <c r="F44" s="248" t="s">
        <v>229</v>
      </c>
      <c r="G44" s="37"/>
      <c r="H44" s="271">
        <v>24312.75</v>
      </c>
      <c r="I44" s="271">
        <v>24312.75</v>
      </c>
      <c r="J44" s="244">
        <v>0</v>
      </c>
      <c r="K44" s="290">
        <f t="shared" si="0"/>
        <v>24312.75</v>
      </c>
      <c r="L44" s="37"/>
      <c r="M44" s="369">
        <v>0</v>
      </c>
      <c r="N44" s="273"/>
    </row>
    <row r="45" spans="1:14">
      <c r="A45" s="231">
        <v>7033</v>
      </c>
      <c r="B45" s="4">
        <v>103613</v>
      </c>
      <c r="C45" s="4" t="s">
        <v>344</v>
      </c>
      <c r="D45" s="4" t="s">
        <v>345</v>
      </c>
      <c r="E45" s="213" t="s">
        <v>1093</v>
      </c>
      <c r="F45" s="248" t="s">
        <v>229</v>
      </c>
      <c r="G45" s="37"/>
      <c r="H45" s="271">
        <v>3291.75</v>
      </c>
      <c r="I45" s="271">
        <v>9471</v>
      </c>
      <c r="J45" s="244">
        <v>0</v>
      </c>
      <c r="K45" s="290">
        <f t="shared" si="0"/>
        <v>9471</v>
      </c>
      <c r="L45" s="37"/>
      <c r="M45" s="369">
        <v>0</v>
      </c>
      <c r="N45" s="273"/>
    </row>
    <row r="46" spans="1:14">
      <c r="A46" s="231">
        <v>4177</v>
      </c>
      <c r="B46" s="4">
        <v>103498</v>
      </c>
      <c r="C46" s="4" t="s">
        <v>347</v>
      </c>
      <c r="D46" s="4" t="s">
        <v>348</v>
      </c>
      <c r="E46" s="213" t="s">
        <v>6</v>
      </c>
      <c r="F46" s="248" t="s">
        <v>229</v>
      </c>
      <c r="G46" s="37"/>
      <c r="H46" s="271">
        <v>24312.75</v>
      </c>
      <c r="I46" s="271">
        <v>24312.75</v>
      </c>
      <c r="J46" s="244">
        <v>0</v>
      </c>
      <c r="K46" s="290">
        <f t="shared" si="0"/>
        <v>24312.75</v>
      </c>
      <c r="L46" s="37"/>
      <c r="M46" s="369">
        <v>0</v>
      </c>
      <c r="N46" s="273"/>
    </row>
    <row r="47" spans="1:14">
      <c r="A47" s="231">
        <v>1038</v>
      </c>
      <c r="B47" s="4">
        <v>103142</v>
      </c>
      <c r="C47" s="4" t="s">
        <v>350</v>
      </c>
      <c r="D47" s="4" t="s">
        <v>351</v>
      </c>
      <c r="E47" s="213" t="s">
        <v>180</v>
      </c>
      <c r="F47" s="248" t="s">
        <v>229</v>
      </c>
      <c r="G47" s="37"/>
      <c r="H47" s="271">
        <v>3291.75</v>
      </c>
      <c r="I47" s="271">
        <v>3291.75</v>
      </c>
      <c r="J47" s="244">
        <v>0</v>
      </c>
      <c r="K47" s="290">
        <f t="shared" si="0"/>
        <v>3291.75</v>
      </c>
      <c r="L47" s="37"/>
      <c r="M47" s="369">
        <v>0</v>
      </c>
      <c r="N47" s="273"/>
    </row>
    <row r="48" spans="1:14">
      <c r="A48" s="231">
        <v>2174</v>
      </c>
      <c r="B48" s="4">
        <v>103255</v>
      </c>
      <c r="C48" s="4" t="s">
        <v>353</v>
      </c>
      <c r="D48" s="4" t="s">
        <v>354</v>
      </c>
      <c r="E48" s="213" t="s">
        <v>5</v>
      </c>
      <c r="F48" s="248" t="s">
        <v>229</v>
      </c>
      <c r="G48" s="37"/>
      <c r="H48" s="271">
        <v>0</v>
      </c>
      <c r="I48" s="271">
        <v>0</v>
      </c>
      <c r="J48" s="244">
        <v>8300</v>
      </c>
      <c r="K48" s="290">
        <f t="shared" si="0"/>
        <v>8300</v>
      </c>
      <c r="L48" s="37"/>
      <c r="M48" s="369">
        <v>0</v>
      </c>
      <c r="N48" s="273"/>
    </row>
    <row r="49" spans="1:14">
      <c r="A49" s="231">
        <v>3363</v>
      </c>
      <c r="B49" s="4">
        <v>103455</v>
      </c>
      <c r="C49" s="4" t="s">
        <v>356</v>
      </c>
      <c r="D49" s="4" t="s">
        <v>357</v>
      </c>
      <c r="E49" s="213" t="s">
        <v>5</v>
      </c>
      <c r="F49" s="248" t="s">
        <v>229</v>
      </c>
      <c r="G49" s="37"/>
      <c r="H49" s="271">
        <v>9471</v>
      </c>
      <c r="I49" s="271">
        <v>9471</v>
      </c>
      <c r="J49" s="244">
        <v>0</v>
      </c>
      <c r="K49" s="290">
        <f t="shared" si="0"/>
        <v>9471</v>
      </c>
      <c r="L49" s="37"/>
      <c r="M49" s="369">
        <v>0</v>
      </c>
      <c r="N49" s="273"/>
    </row>
    <row r="50" spans="1:14">
      <c r="A50" s="231">
        <v>3377</v>
      </c>
      <c r="B50" s="4">
        <v>103463</v>
      </c>
      <c r="C50" s="4" t="s">
        <v>359</v>
      </c>
      <c r="D50" s="4" t="s">
        <v>360</v>
      </c>
      <c r="E50" s="213" t="s">
        <v>5</v>
      </c>
      <c r="F50" s="248" t="s">
        <v>229</v>
      </c>
      <c r="G50" s="37"/>
      <c r="H50" s="271">
        <v>0</v>
      </c>
      <c r="I50" s="271">
        <v>0</v>
      </c>
      <c r="J50" s="244">
        <v>0</v>
      </c>
      <c r="K50" s="290">
        <f t="shared" si="0"/>
        <v>0</v>
      </c>
      <c r="L50" s="37"/>
      <c r="M50" s="369">
        <v>0</v>
      </c>
      <c r="N50" s="273"/>
    </row>
    <row r="51" spans="1:14">
      <c r="A51" s="231">
        <v>3371</v>
      </c>
      <c r="B51" s="4">
        <v>103459</v>
      </c>
      <c r="C51" s="4" t="s">
        <v>362</v>
      </c>
      <c r="D51" s="4" t="s">
        <v>363</v>
      </c>
      <c r="E51" s="213" t="s">
        <v>5</v>
      </c>
      <c r="F51" s="248" t="s">
        <v>229</v>
      </c>
      <c r="G51" s="37"/>
      <c r="H51" s="271">
        <v>5139.75</v>
      </c>
      <c r="I51" s="271">
        <v>5139.75</v>
      </c>
      <c r="J51" s="244">
        <v>0</v>
      </c>
      <c r="K51" s="290">
        <f t="shared" si="0"/>
        <v>5139.75</v>
      </c>
      <c r="L51" s="37"/>
      <c r="M51" s="369">
        <v>0</v>
      </c>
      <c r="N51" s="273"/>
    </row>
    <row r="52" spans="1:14">
      <c r="A52" s="231">
        <v>3016</v>
      </c>
      <c r="B52" s="4">
        <v>103404</v>
      </c>
      <c r="C52" s="4" t="s">
        <v>365</v>
      </c>
      <c r="D52" s="4" t="s">
        <v>366</v>
      </c>
      <c r="E52" s="213" t="s">
        <v>5</v>
      </c>
      <c r="F52" s="248" t="s">
        <v>229</v>
      </c>
      <c r="G52" s="37"/>
      <c r="H52" s="271">
        <v>5139.75</v>
      </c>
      <c r="I52" s="271">
        <v>5139.75</v>
      </c>
      <c r="J52" s="244">
        <v>0</v>
      </c>
      <c r="K52" s="290">
        <f t="shared" si="0"/>
        <v>5139.75</v>
      </c>
      <c r="L52" s="37"/>
      <c r="M52" s="369">
        <v>0</v>
      </c>
      <c r="N52" s="273"/>
    </row>
    <row r="53" spans="1:14">
      <c r="A53" s="231">
        <v>4606</v>
      </c>
      <c r="B53" s="4">
        <v>103531</v>
      </c>
      <c r="C53" s="4" t="s">
        <v>368</v>
      </c>
      <c r="D53" s="4" t="s">
        <v>369</v>
      </c>
      <c r="E53" s="213" t="s">
        <v>6</v>
      </c>
      <c r="F53" s="248" t="s">
        <v>229</v>
      </c>
      <c r="G53" s="37"/>
      <c r="H53" s="271">
        <v>24312.75</v>
      </c>
      <c r="I53" s="271">
        <v>24312.75</v>
      </c>
      <c r="J53" s="244">
        <v>0</v>
      </c>
      <c r="K53" s="290">
        <f t="shared" si="0"/>
        <v>24312.75</v>
      </c>
      <c r="L53" s="37"/>
      <c r="M53" s="369">
        <v>0</v>
      </c>
      <c r="N53" s="273"/>
    </row>
    <row r="54" spans="1:14">
      <c r="A54" s="231">
        <v>3428</v>
      </c>
      <c r="B54" s="4">
        <v>134476</v>
      </c>
      <c r="C54" s="4" t="s">
        <v>371</v>
      </c>
      <c r="D54" s="4" t="s">
        <v>372</v>
      </c>
      <c r="E54" s="213" t="s">
        <v>5</v>
      </c>
      <c r="F54" s="248" t="s">
        <v>229</v>
      </c>
      <c r="G54" s="37"/>
      <c r="H54" s="271">
        <v>9471</v>
      </c>
      <c r="I54" s="271">
        <v>9471</v>
      </c>
      <c r="J54" s="244">
        <v>0</v>
      </c>
      <c r="K54" s="290">
        <f t="shared" si="0"/>
        <v>9471</v>
      </c>
      <c r="L54" s="37"/>
      <c r="M54" s="369">
        <v>0</v>
      </c>
      <c r="N54" s="273"/>
    </row>
    <row r="55" spans="1:14">
      <c r="A55" s="231">
        <v>4237</v>
      </c>
      <c r="B55" s="4">
        <v>103514</v>
      </c>
      <c r="C55" s="4" t="s">
        <v>374</v>
      </c>
      <c r="D55" s="4" t="s">
        <v>375</v>
      </c>
      <c r="E55" s="213" t="s">
        <v>6</v>
      </c>
      <c r="F55" s="248" t="s">
        <v>229</v>
      </c>
      <c r="G55" s="37"/>
      <c r="H55" s="271">
        <v>45969</v>
      </c>
      <c r="I55" s="271">
        <v>45969</v>
      </c>
      <c r="J55" s="244">
        <v>0</v>
      </c>
      <c r="K55" s="290">
        <f t="shared" si="0"/>
        <v>45969</v>
      </c>
      <c r="L55" s="37"/>
      <c r="M55" s="369">
        <v>0</v>
      </c>
      <c r="N55" s="273"/>
    </row>
    <row r="56" spans="1:14">
      <c r="A56" s="231">
        <v>3323</v>
      </c>
      <c r="B56" s="4">
        <v>103427</v>
      </c>
      <c r="C56" s="4" t="s">
        <v>377</v>
      </c>
      <c r="D56" s="4" t="s">
        <v>378</v>
      </c>
      <c r="E56" s="213" t="s">
        <v>5</v>
      </c>
      <c r="F56" s="248" t="s">
        <v>229</v>
      </c>
      <c r="G56" s="37"/>
      <c r="H56" s="271">
        <v>5139.75</v>
      </c>
      <c r="I56" s="271">
        <v>5139.75</v>
      </c>
      <c r="J56" s="244">
        <v>0</v>
      </c>
      <c r="K56" s="290">
        <f t="shared" si="0"/>
        <v>5139.75</v>
      </c>
      <c r="L56" s="37"/>
      <c r="M56" s="369">
        <v>0</v>
      </c>
      <c r="N56" s="273"/>
    </row>
    <row r="57" spans="1:14">
      <c r="A57" s="231">
        <v>7014</v>
      </c>
      <c r="B57" s="4">
        <v>103605</v>
      </c>
      <c r="C57" s="4" t="s">
        <v>380</v>
      </c>
      <c r="D57" s="4" t="s">
        <v>381</v>
      </c>
      <c r="E57" s="213" t="s">
        <v>1093</v>
      </c>
      <c r="F57" s="248" t="s">
        <v>229</v>
      </c>
      <c r="G57" s="37"/>
      <c r="H57" s="271">
        <v>0</v>
      </c>
      <c r="I57" s="271">
        <v>0</v>
      </c>
      <c r="J57" s="244">
        <v>6650</v>
      </c>
      <c r="K57" s="290">
        <f t="shared" si="0"/>
        <v>6650</v>
      </c>
      <c r="L57" s="37"/>
      <c r="M57" s="369">
        <v>0</v>
      </c>
      <c r="N57" s="273"/>
    </row>
    <row r="58" spans="1:14">
      <c r="A58" s="231">
        <v>7009</v>
      </c>
      <c r="B58" s="4">
        <v>103601</v>
      </c>
      <c r="C58" s="4" t="s">
        <v>383</v>
      </c>
      <c r="D58" s="4" t="s">
        <v>384</v>
      </c>
      <c r="E58" s="213" t="s">
        <v>1093</v>
      </c>
      <c r="F58" s="248" t="s">
        <v>229</v>
      </c>
      <c r="G58" s="37"/>
      <c r="H58" s="271">
        <v>0</v>
      </c>
      <c r="I58" s="271">
        <v>0</v>
      </c>
      <c r="J58" s="244">
        <v>5850</v>
      </c>
      <c r="K58" s="290">
        <f t="shared" si="0"/>
        <v>5850</v>
      </c>
      <c r="L58" s="37"/>
      <c r="M58" s="369">
        <v>0</v>
      </c>
      <c r="N58" s="273"/>
    </row>
    <row r="59" spans="1:14">
      <c r="A59" s="231">
        <v>5203</v>
      </c>
      <c r="B59" s="4">
        <v>103544</v>
      </c>
      <c r="C59" s="4" t="s">
        <v>386</v>
      </c>
      <c r="D59" s="4" t="s">
        <v>387</v>
      </c>
      <c r="E59" s="213" t="s">
        <v>5</v>
      </c>
      <c r="F59" s="248" t="s">
        <v>229</v>
      </c>
      <c r="G59" s="37"/>
      <c r="H59" s="271">
        <v>5139.75</v>
      </c>
      <c r="I59" s="271">
        <v>5139.75</v>
      </c>
      <c r="J59" s="244">
        <v>0</v>
      </c>
      <c r="K59" s="290">
        <f t="shared" si="0"/>
        <v>5139.75</v>
      </c>
      <c r="L59" s="37"/>
      <c r="M59" s="369">
        <v>0</v>
      </c>
      <c r="N59" s="273"/>
    </row>
    <row r="60" spans="1:14">
      <c r="A60" s="231">
        <v>5202</v>
      </c>
      <c r="B60" s="4">
        <v>103543</v>
      </c>
      <c r="C60" s="4" t="s">
        <v>389</v>
      </c>
      <c r="D60" s="4" t="s">
        <v>390</v>
      </c>
      <c r="E60" s="213" t="s">
        <v>5</v>
      </c>
      <c r="F60" s="248" t="s">
        <v>229</v>
      </c>
      <c r="G60" s="37"/>
      <c r="H60" s="271">
        <v>0</v>
      </c>
      <c r="I60" s="271">
        <v>0</v>
      </c>
      <c r="J60" s="244">
        <v>0</v>
      </c>
      <c r="K60" s="290">
        <f t="shared" si="0"/>
        <v>0</v>
      </c>
      <c r="L60" s="37"/>
      <c r="M60" s="369">
        <v>0</v>
      </c>
      <c r="N60" s="273"/>
    </row>
    <row r="61" spans="1:14">
      <c r="A61" s="231">
        <v>2308</v>
      </c>
      <c r="B61" s="4">
        <v>103328</v>
      </c>
      <c r="C61" s="4" t="s">
        <v>392</v>
      </c>
      <c r="D61" s="4" t="s">
        <v>393</v>
      </c>
      <c r="E61" s="213" t="s">
        <v>5</v>
      </c>
      <c r="F61" s="248" t="s">
        <v>229</v>
      </c>
      <c r="G61" s="37"/>
      <c r="H61" s="271">
        <v>9471</v>
      </c>
      <c r="I61" s="271">
        <v>9471</v>
      </c>
      <c r="J61" s="244">
        <v>0</v>
      </c>
      <c r="K61" s="290">
        <f t="shared" si="0"/>
        <v>9471</v>
      </c>
      <c r="L61" s="37"/>
      <c r="M61" s="369">
        <v>4998.7364211538461</v>
      </c>
      <c r="N61" s="273"/>
    </row>
    <row r="62" spans="1:14">
      <c r="A62" s="231">
        <v>2011</v>
      </c>
      <c r="B62" s="4">
        <v>134099</v>
      </c>
      <c r="C62" s="4" t="s">
        <v>395</v>
      </c>
      <c r="D62" s="4" t="s">
        <v>396</v>
      </c>
      <c r="E62" s="213" t="s">
        <v>5</v>
      </c>
      <c r="F62" s="248" t="s">
        <v>229</v>
      </c>
      <c r="G62" s="37"/>
      <c r="H62" s="271">
        <v>18745.650000000001</v>
      </c>
      <c r="I62" s="271">
        <v>18745.650000000001</v>
      </c>
      <c r="J62" s="244">
        <v>0</v>
      </c>
      <c r="K62" s="290">
        <f t="shared" si="0"/>
        <v>18745.650000000001</v>
      </c>
      <c r="L62" s="37"/>
      <c r="M62" s="369">
        <v>0</v>
      </c>
      <c r="N62" s="273"/>
    </row>
    <row r="63" spans="1:14">
      <c r="A63" s="231">
        <v>4193</v>
      </c>
      <c r="B63" s="4">
        <v>103501</v>
      </c>
      <c r="C63" s="4" t="s">
        <v>398</v>
      </c>
      <c r="D63" s="4" t="s">
        <v>399</v>
      </c>
      <c r="E63" s="213" t="s">
        <v>6</v>
      </c>
      <c r="F63" s="248" t="s">
        <v>229</v>
      </c>
      <c r="G63" s="37"/>
      <c r="H63" s="271">
        <v>18745.650000000001</v>
      </c>
      <c r="I63" s="271">
        <v>18745.650000000001</v>
      </c>
      <c r="J63" s="244">
        <v>0</v>
      </c>
      <c r="K63" s="290">
        <f t="shared" si="0"/>
        <v>18745.650000000001</v>
      </c>
      <c r="L63" s="37"/>
      <c r="M63" s="369">
        <v>0</v>
      </c>
      <c r="N63" s="273"/>
    </row>
    <row r="64" spans="1:14">
      <c r="A64" s="231">
        <v>2293</v>
      </c>
      <c r="B64" s="4">
        <v>103317</v>
      </c>
      <c r="C64" s="4" t="s">
        <v>401</v>
      </c>
      <c r="D64" s="4" t="s">
        <v>402</v>
      </c>
      <c r="E64" s="213" t="s">
        <v>5</v>
      </c>
      <c r="F64" s="248" t="s">
        <v>229</v>
      </c>
      <c r="G64" s="37"/>
      <c r="H64" s="271">
        <v>12566.4</v>
      </c>
      <c r="I64" s="271">
        <v>12566.4</v>
      </c>
      <c r="J64" s="244">
        <v>0</v>
      </c>
      <c r="K64" s="290">
        <f t="shared" si="0"/>
        <v>12566.4</v>
      </c>
      <c r="L64" s="37"/>
      <c r="M64" s="369">
        <v>0</v>
      </c>
      <c r="N64" s="273"/>
    </row>
    <row r="65" spans="1:14">
      <c r="A65" s="231">
        <v>2225</v>
      </c>
      <c r="B65" s="4">
        <v>103279</v>
      </c>
      <c r="C65" s="4" t="s">
        <v>404</v>
      </c>
      <c r="D65" s="4" t="s">
        <v>405</v>
      </c>
      <c r="E65" s="213" t="s">
        <v>5</v>
      </c>
      <c r="F65" s="248" t="s">
        <v>229</v>
      </c>
      <c r="G65" s="37"/>
      <c r="H65" s="271">
        <v>0</v>
      </c>
      <c r="I65" s="271">
        <v>0</v>
      </c>
      <c r="J65" s="244">
        <v>9250</v>
      </c>
      <c r="K65" s="290">
        <f t="shared" si="0"/>
        <v>9250</v>
      </c>
      <c r="L65" s="37"/>
      <c r="M65" s="369">
        <v>60089.255583333332</v>
      </c>
      <c r="N65" s="273"/>
    </row>
    <row r="66" spans="1:14">
      <c r="A66" s="231">
        <v>2412</v>
      </c>
      <c r="B66" s="4">
        <v>103349</v>
      </c>
      <c r="C66" s="4" t="s">
        <v>407</v>
      </c>
      <c r="D66" s="4" t="s">
        <v>408</v>
      </c>
      <c r="E66" s="213" t="s">
        <v>5</v>
      </c>
      <c r="F66" s="248" t="s">
        <v>229</v>
      </c>
      <c r="G66" s="37"/>
      <c r="H66" s="271">
        <v>9471</v>
      </c>
      <c r="I66" s="271">
        <v>9471</v>
      </c>
      <c r="J66" s="244">
        <v>0</v>
      </c>
      <c r="K66" s="290">
        <f t="shared" si="0"/>
        <v>9471</v>
      </c>
      <c r="L66" s="37"/>
      <c r="M66" s="369">
        <v>0</v>
      </c>
      <c r="N66" s="273"/>
    </row>
    <row r="67" spans="1:14">
      <c r="A67" s="231">
        <v>2478</v>
      </c>
      <c r="B67" s="4">
        <v>132007</v>
      </c>
      <c r="C67" s="4" t="s">
        <v>565</v>
      </c>
      <c r="D67" s="4" t="s">
        <v>566</v>
      </c>
      <c r="E67" s="213" t="s">
        <v>5</v>
      </c>
      <c r="F67" s="248" t="s">
        <v>229</v>
      </c>
      <c r="G67" s="37"/>
      <c r="H67" s="271">
        <v>9471</v>
      </c>
      <c r="I67" s="271">
        <v>9471</v>
      </c>
      <c r="J67" s="244">
        <v>0</v>
      </c>
      <c r="K67" s="290">
        <f t="shared" si="0"/>
        <v>9471</v>
      </c>
      <c r="L67" s="37"/>
      <c r="M67" s="369">
        <v>0</v>
      </c>
      <c r="N67" s="273"/>
    </row>
    <row r="68" spans="1:14">
      <c r="A68" s="231">
        <v>4063</v>
      </c>
      <c r="B68" s="4">
        <v>103486</v>
      </c>
      <c r="C68" s="4" t="s">
        <v>687</v>
      </c>
      <c r="D68" s="4" t="s">
        <v>688</v>
      </c>
      <c r="E68" s="213" t="s">
        <v>6</v>
      </c>
      <c r="F68" s="248" t="s">
        <v>229</v>
      </c>
      <c r="G68" s="37"/>
      <c r="H68" s="271">
        <v>24312.75</v>
      </c>
      <c r="I68" s="271">
        <v>24312.75</v>
      </c>
      <c r="J68" s="244">
        <v>0</v>
      </c>
      <c r="K68" s="290">
        <f t="shared" si="0"/>
        <v>24312.75</v>
      </c>
      <c r="L68" s="37"/>
      <c r="M68" s="369">
        <v>0</v>
      </c>
      <c r="N68" s="273"/>
    </row>
    <row r="69" spans="1:14">
      <c r="A69" s="231">
        <v>3375</v>
      </c>
      <c r="B69" s="4">
        <v>103462</v>
      </c>
      <c r="C69" s="4" t="s">
        <v>783</v>
      </c>
      <c r="D69" s="4" t="s">
        <v>784</v>
      </c>
      <c r="E69" s="213" t="s">
        <v>5</v>
      </c>
      <c r="F69" s="248" t="s">
        <v>229</v>
      </c>
      <c r="G69" s="37"/>
      <c r="H69" s="271">
        <v>9471</v>
      </c>
      <c r="I69" s="271">
        <v>9471</v>
      </c>
      <c r="J69" s="244">
        <v>0</v>
      </c>
      <c r="K69" s="290">
        <f t="shared" si="0"/>
        <v>9471</v>
      </c>
      <c r="L69" s="37"/>
      <c r="M69" s="369">
        <v>0</v>
      </c>
      <c r="N69" s="273"/>
    </row>
    <row r="70" spans="1:14">
      <c r="A70" s="231">
        <v>2010</v>
      </c>
      <c r="B70" s="4">
        <v>103159</v>
      </c>
      <c r="C70" s="4" t="s">
        <v>228</v>
      </c>
      <c r="D70" s="4" t="s">
        <v>230</v>
      </c>
      <c r="E70" s="213" t="s">
        <v>5</v>
      </c>
      <c r="F70" s="248" t="s">
        <v>229</v>
      </c>
      <c r="G70" s="37"/>
      <c r="H70" s="271">
        <v>9471</v>
      </c>
      <c r="I70" s="271">
        <v>9471</v>
      </c>
      <c r="J70" s="244">
        <v>1129</v>
      </c>
      <c r="K70" s="290">
        <f t="shared" si="0"/>
        <v>10600</v>
      </c>
      <c r="L70" s="37"/>
      <c r="M70" s="369">
        <v>0</v>
      </c>
      <c r="N70" s="273"/>
    </row>
    <row r="71" spans="1:14" s="218" customFormat="1" ht="15" thickBot="1">
      <c r="A71" s="233"/>
      <c r="B71" s="214"/>
      <c r="C71" s="214"/>
      <c r="D71" s="226" t="s">
        <v>1096</v>
      </c>
      <c r="E71" s="215"/>
      <c r="F71" s="249"/>
      <c r="G71" s="216"/>
      <c r="H71" s="274">
        <f t="shared" ref="H71:K71" si="1">SUM(H8:H70)</f>
        <v>502494.30000000005</v>
      </c>
      <c r="I71" s="274">
        <f t="shared" si="1"/>
        <v>515661.30000000005</v>
      </c>
      <c r="J71" s="274">
        <f t="shared" si="1"/>
        <v>176489.25</v>
      </c>
      <c r="K71" s="274">
        <f t="shared" si="1"/>
        <v>692150.55000000016</v>
      </c>
      <c r="L71" s="216"/>
      <c r="M71" s="370">
        <v>430759.52060833329</v>
      </c>
      <c r="N71" s="377"/>
    </row>
    <row r="72" spans="1:14" ht="15" thickTop="1">
      <c r="A72" s="231"/>
      <c r="B72" s="4"/>
      <c r="C72" s="4"/>
      <c r="D72" s="4"/>
      <c r="E72" s="213"/>
      <c r="F72" s="248"/>
      <c r="G72" s="37"/>
      <c r="H72" s="271"/>
      <c r="I72" s="271"/>
      <c r="J72" s="212"/>
      <c r="K72" s="4"/>
      <c r="L72" s="37"/>
      <c r="M72" s="369"/>
      <c r="N72" s="273"/>
    </row>
    <row r="73" spans="1:14">
      <c r="A73" s="231">
        <v>1021</v>
      </c>
      <c r="B73" s="4">
        <v>103134</v>
      </c>
      <c r="C73" s="4" t="s">
        <v>670</v>
      </c>
      <c r="D73" s="4" t="s">
        <v>671</v>
      </c>
      <c r="E73" s="213" t="s">
        <v>180</v>
      </c>
      <c r="F73" s="248" t="s">
        <v>411</v>
      </c>
      <c r="G73" s="37"/>
      <c r="H73" s="273">
        <v>0</v>
      </c>
      <c r="I73" s="271">
        <v>0</v>
      </c>
      <c r="J73" s="212">
        <v>0</v>
      </c>
      <c r="K73" s="212">
        <f>I73+J73</f>
        <v>0</v>
      </c>
      <c r="L73" s="37"/>
      <c r="M73" s="369">
        <v>0</v>
      </c>
      <c r="N73" s="273"/>
    </row>
    <row r="74" spans="1:14">
      <c r="A74" s="231">
        <v>1027</v>
      </c>
      <c r="B74" s="4">
        <v>103140</v>
      </c>
      <c r="C74" s="4" t="s">
        <v>410</v>
      </c>
      <c r="D74" s="4" t="s">
        <v>412</v>
      </c>
      <c r="E74" s="213" t="s">
        <v>180</v>
      </c>
      <c r="F74" s="248" t="s">
        <v>411</v>
      </c>
      <c r="G74" s="37"/>
      <c r="H74" s="273">
        <v>3291.75</v>
      </c>
      <c r="I74" s="271">
        <v>3291.75</v>
      </c>
      <c r="J74" s="212">
        <v>0</v>
      </c>
      <c r="K74" s="212">
        <f t="shared" ref="K74:K137" si="2">I74+J74</f>
        <v>3291.75</v>
      </c>
      <c r="L74" s="37"/>
      <c r="M74" s="369">
        <v>0</v>
      </c>
      <c r="N74" s="273"/>
    </row>
    <row r="75" spans="1:14">
      <c r="A75" s="231">
        <v>1802</v>
      </c>
      <c r="B75" s="4">
        <v>103150</v>
      </c>
      <c r="C75" s="4" t="s">
        <v>451</v>
      </c>
      <c r="D75" s="4" t="s">
        <v>452</v>
      </c>
      <c r="E75" s="213" t="s">
        <v>180</v>
      </c>
      <c r="F75" s="248" t="s">
        <v>411</v>
      </c>
      <c r="G75" s="37"/>
      <c r="H75" s="273">
        <v>3291.75</v>
      </c>
      <c r="I75" s="271">
        <v>3291.75</v>
      </c>
      <c r="J75" s="212">
        <v>0</v>
      </c>
      <c r="K75" s="212">
        <f t="shared" si="2"/>
        <v>3291.75</v>
      </c>
      <c r="L75" s="37"/>
      <c r="M75" s="369">
        <v>0</v>
      </c>
      <c r="N75" s="273"/>
    </row>
    <row r="76" spans="1:14">
      <c r="A76" s="231">
        <v>5949</v>
      </c>
      <c r="B76" s="4">
        <v>131465</v>
      </c>
      <c r="C76" s="4" t="s">
        <v>580</v>
      </c>
      <c r="D76" s="4" t="s">
        <v>581</v>
      </c>
      <c r="E76" s="213" t="s">
        <v>5</v>
      </c>
      <c r="F76" s="248" t="s">
        <v>411</v>
      </c>
      <c r="G76" s="37"/>
      <c r="H76" s="273">
        <v>18745.650000000001</v>
      </c>
      <c r="I76" s="271">
        <v>18745.650000000001</v>
      </c>
      <c r="J76" s="212">
        <v>0</v>
      </c>
      <c r="K76" s="212">
        <f t="shared" si="2"/>
        <v>18745.650000000001</v>
      </c>
      <c r="L76" s="37"/>
      <c r="M76" s="369">
        <v>0</v>
      </c>
      <c r="N76" s="273"/>
    </row>
    <row r="77" spans="1:14">
      <c r="A77" s="231">
        <v>2062</v>
      </c>
      <c r="B77" s="4">
        <v>103192</v>
      </c>
      <c r="C77" s="4" t="s">
        <v>583</v>
      </c>
      <c r="D77" s="4" t="s">
        <v>584</v>
      </c>
      <c r="E77" s="213" t="s">
        <v>5</v>
      </c>
      <c r="F77" s="248" t="s">
        <v>411</v>
      </c>
      <c r="G77" s="37"/>
      <c r="H77" s="273">
        <v>9471</v>
      </c>
      <c r="I77" s="271">
        <v>9471</v>
      </c>
      <c r="J77" s="212">
        <v>0</v>
      </c>
      <c r="K77" s="212">
        <f t="shared" si="2"/>
        <v>9471</v>
      </c>
      <c r="L77" s="37"/>
      <c r="M77" s="369">
        <v>0</v>
      </c>
      <c r="N77" s="273"/>
    </row>
    <row r="78" spans="1:14">
      <c r="A78" s="231">
        <v>2014</v>
      </c>
      <c r="B78" s="4">
        <v>103162</v>
      </c>
      <c r="C78" s="4" t="s">
        <v>586</v>
      </c>
      <c r="D78" s="4" t="s">
        <v>587</v>
      </c>
      <c r="E78" s="213" t="s">
        <v>5</v>
      </c>
      <c r="F78" s="248" t="s">
        <v>411</v>
      </c>
      <c r="G78" s="37"/>
      <c r="H78" s="273">
        <v>9471</v>
      </c>
      <c r="I78" s="271">
        <v>9471</v>
      </c>
      <c r="J78" s="212">
        <v>0</v>
      </c>
      <c r="K78" s="212">
        <f t="shared" si="2"/>
        <v>9471</v>
      </c>
      <c r="L78" s="37"/>
      <c r="M78" s="369">
        <v>0</v>
      </c>
      <c r="N78" s="273"/>
    </row>
    <row r="79" spans="1:14">
      <c r="A79" s="231">
        <v>7052</v>
      </c>
      <c r="B79" s="4">
        <v>103627</v>
      </c>
      <c r="C79" s="4" t="s">
        <v>589</v>
      </c>
      <c r="D79" s="4" t="s">
        <v>590</v>
      </c>
      <c r="E79" s="213" t="s">
        <v>1093</v>
      </c>
      <c r="F79" s="248" t="s">
        <v>411</v>
      </c>
      <c r="G79" s="37"/>
      <c r="H79" s="273">
        <v>3291.75</v>
      </c>
      <c r="I79" s="271">
        <v>3291.75</v>
      </c>
      <c r="J79" s="212">
        <v>0</v>
      </c>
      <c r="K79" s="212">
        <f t="shared" si="2"/>
        <v>3291.75</v>
      </c>
      <c r="L79" s="37"/>
      <c r="M79" s="369">
        <v>0</v>
      </c>
      <c r="N79" s="273"/>
    </row>
    <row r="80" spans="1:14">
      <c r="A80" s="231">
        <v>2017</v>
      </c>
      <c r="B80" s="4">
        <v>103164</v>
      </c>
      <c r="C80" s="4" t="s">
        <v>592</v>
      </c>
      <c r="D80" s="4" t="s">
        <v>593</v>
      </c>
      <c r="E80" s="213" t="s">
        <v>5</v>
      </c>
      <c r="F80" s="248" t="s">
        <v>411</v>
      </c>
      <c r="G80" s="37"/>
      <c r="H80" s="273">
        <v>5139.75</v>
      </c>
      <c r="I80" s="271">
        <v>5139.75</v>
      </c>
      <c r="J80" s="212">
        <v>0</v>
      </c>
      <c r="K80" s="212">
        <f t="shared" si="2"/>
        <v>5139.75</v>
      </c>
      <c r="L80" s="37"/>
      <c r="M80" s="369">
        <v>0</v>
      </c>
      <c r="N80" s="273"/>
    </row>
    <row r="81" spans="1:14">
      <c r="A81" s="231">
        <v>2016</v>
      </c>
      <c r="B81" s="4">
        <v>103163</v>
      </c>
      <c r="C81" s="4" t="s">
        <v>595</v>
      </c>
      <c r="D81" s="4" t="s">
        <v>596</v>
      </c>
      <c r="E81" s="213" t="s">
        <v>5</v>
      </c>
      <c r="F81" s="248" t="s">
        <v>411</v>
      </c>
      <c r="G81" s="37"/>
      <c r="H81" s="273">
        <v>9471</v>
      </c>
      <c r="I81" s="271">
        <v>9471</v>
      </c>
      <c r="J81" s="212">
        <v>0</v>
      </c>
      <c r="K81" s="212">
        <f t="shared" si="2"/>
        <v>9471</v>
      </c>
      <c r="L81" s="37"/>
      <c r="M81" s="369">
        <v>0</v>
      </c>
      <c r="N81" s="273"/>
    </row>
    <row r="82" spans="1:14">
      <c r="A82" s="231">
        <v>2241</v>
      </c>
      <c r="B82" s="4">
        <v>103291</v>
      </c>
      <c r="C82" s="4" t="s">
        <v>598</v>
      </c>
      <c r="D82" s="4" t="s">
        <v>599</v>
      </c>
      <c r="E82" s="213" t="s">
        <v>5</v>
      </c>
      <c r="F82" s="248" t="s">
        <v>411</v>
      </c>
      <c r="G82" s="37"/>
      <c r="H82" s="273">
        <v>5139.75</v>
      </c>
      <c r="I82" s="271">
        <v>5139.75</v>
      </c>
      <c r="J82" s="212">
        <v>0</v>
      </c>
      <c r="K82" s="212">
        <f t="shared" si="2"/>
        <v>5139.75</v>
      </c>
      <c r="L82" s="37"/>
      <c r="M82" s="369">
        <v>0</v>
      </c>
      <c r="N82" s="273"/>
    </row>
    <row r="83" spans="1:14">
      <c r="A83" s="231">
        <v>2456</v>
      </c>
      <c r="B83" s="4">
        <v>103383</v>
      </c>
      <c r="C83" s="4" t="s">
        <v>601</v>
      </c>
      <c r="D83" s="4" t="s">
        <v>602</v>
      </c>
      <c r="E83" s="213" t="s">
        <v>5</v>
      </c>
      <c r="F83" s="248" t="s">
        <v>411</v>
      </c>
      <c r="G83" s="37"/>
      <c r="H83" s="273">
        <v>5139.75</v>
      </c>
      <c r="I83" s="271">
        <v>5139.75</v>
      </c>
      <c r="J83" s="212">
        <v>0</v>
      </c>
      <c r="K83" s="212">
        <f t="shared" si="2"/>
        <v>5139.75</v>
      </c>
      <c r="L83" s="37"/>
      <c r="M83" s="369">
        <v>0</v>
      </c>
      <c r="N83" s="273"/>
    </row>
    <row r="84" spans="1:14">
      <c r="A84" s="231">
        <v>2254</v>
      </c>
      <c r="B84" s="4">
        <v>103300</v>
      </c>
      <c r="C84" s="4" t="s">
        <v>604</v>
      </c>
      <c r="D84" s="4" t="s">
        <v>605</v>
      </c>
      <c r="E84" s="213" t="s">
        <v>5</v>
      </c>
      <c r="F84" s="248" t="s">
        <v>411</v>
      </c>
      <c r="G84" s="37"/>
      <c r="H84" s="273">
        <v>12566.4</v>
      </c>
      <c r="I84" s="271">
        <v>12566.4</v>
      </c>
      <c r="J84" s="212">
        <v>0</v>
      </c>
      <c r="K84" s="212">
        <f t="shared" si="2"/>
        <v>12566.4</v>
      </c>
      <c r="L84" s="37"/>
      <c r="M84" s="369">
        <v>81041.666666666657</v>
      </c>
      <c r="N84" s="273"/>
    </row>
    <row r="85" spans="1:14">
      <c r="A85" s="231">
        <v>1025</v>
      </c>
      <c r="B85" s="4">
        <v>103138</v>
      </c>
      <c r="C85" s="4" t="s">
        <v>607</v>
      </c>
      <c r="D85" s="4" t="s">
        <v>608</v>
      </c>
      <c r="E85" s="213" t="s">
        <v>180</v>
      </c>
      <c r="F85" s="248" t="s">
        <v>411</v>
      </c>
      <c r="G85" s="37"/>
      <c r="H85" s="273">
        <v>3291.75</v>
      </c>
      <c r="I85" s="271">
        <v>3291.75</v>
      </c>
      <c r="J85" s="212">
        <v>0</v>
      </c>
      <c r="K85" s="212">
        <f t="shared" si="2"/>
        <v>3291.75</v>
      </c>
      <c r="L85" s="37"/>
      <c r="M85" s="369">
        <v>0</v>
      </c>
      <c r="N85" s="273"/>
    </row>
    <row r="86" spans="1:14">
      <c r="A86" s="231">
        <v>3353</v>
      </c>
      <c r="B86" s="4">
        <v>103445</v>
      </c>
      <c r="C86" s="4" t="s">
        <v>610</v>
      </c>
      <c r="D86" s="4" t="s">
        <v>611</v>
      </c>
      <c r="E86" s="213" t="s">
        <v>5</v>
      </c>
      <c r="F86" s="248" t="s">
        <v>411</v>
      </c>
      <c r="G86" s="37"/>
      <c r="H86" s="273">
        <v>18745.650000000001</v>
      </c>
      <c r="I86" s="271">
        <v>18745.650000000001</v>
      </c>
      <c r="J86" s="212">
        <v>0</v>
      </c>
      <c r="K86" s="212">
        <f t="shared" si="2"/>
        <v>18745.650000000001</v>
      </c>
      <c r="L86" s="37"/>
      <c r="M86" s="369">
        <v>0</v>
      </c>
      <c r="N86" s="273"/>
    </row>
    <row r="87" spans="1:14">
      <c r="A87" s="231">
        <v>1002</v>
      </c>
      <c r="B87" s="4">
        <v>103121</v>
      </c>
      <c r="C87" s="4" t="s">
        <v>613</v>
      </c>
      <c r="D87" s="4" t="s">
        <v>614</v>
      </c>
      <c r="E87" s="213" t="s">
        <v>180</v>
      </c>
      <c r="F87" s="248" t="s">
        <v>411</v>
      </c>
      <c r="G87" s="37"/>
      <c r="H87" s="273">
        <v>3291.75</v>
      </c>
      <c r="I87" s="271">
        <v>3291.75</v>
      </c>
      <c r="J87" s="212">
        <v>0</v>
      </c>
      <c r="K87" s="212">
        <f t="shared" si="2"/>
        <v>3291.75</v>
      </c>
      <c r="L87" s="37"/>
      <c r="M87" s="369">
        <v>0</v>
      </c>
      <c r="N87" s="273"/>
    </row>
    <row r="88" spans="1:14">
      <c r="A88" s="231">
        <v>1048</v>
      </c>
      <c r="B88" s="4">
        <v>103144</v>
      </c>
      <c r="C88" s="4" t="s">
        <v>616</v>
      </c>
      <c r="D88" s="4" t="s">
        <v>617</v>
      </c>
      <c r="E88" s="213" t="s">
        <v>180</v>
      </c>
      <c r="F88" s="248" t="s">
        <v>411</v>
      </c>
      <c r="G88" s="37"/>
      <c r="H88" s="273">
        <v>3291.75</v>
      </c>
      <c r="I88" s="271">
        <v>3291.75</v>
      </c>
      <c r="J88" s="212">
        <v>0</v>
      </c>
      <c r="K88" s="212">
        <f t="shared" si="2"/>
        <v>3291.75</v>
      </c>
      <c r="L88" s="37"/>
      <c r="M88" s="369">
        <v>0</v>
      </c>
      <c r="N88" s="273"/>
    </row>
    <row r="89" spans="1:14">
      <c r="A89" s="231">
        <v>2289</v>
      </c>
      <c r="B89" s="4">
        <v>103315</v>
      </c>
      <c r="C89" s="4" t="s">
        <v>619</v>
      </c>
      <c r="D89" s="4" t="s">
        <v>620</v>
      </c>
      <c r="E89" s="213" t="s">
        <v>5</v>
      </c>
      <c r="F89" s="248" t="s">
        <v>411</v>
      </c>
      <c r="G89" s="37"/>
      <c r="H89" s="273">
        <v>9471</v>
      </c>
      <c r="I89" s="271">
        <v>9471</v>
      </c>
      <c r="J89" s="212">
        <v>0</v>
      </c>
      <c r="K89" s="212">
        <f t="shared" si="2"/>
        <v>9471</v>
      </c>
      <c r="L89" s="37"/>
      <c r="M89" s="369">
        <v>0</v>
      </c>
      <c r="N89" s="273"/>
    </row>
    <row r="90" spans="1:14">
      <c r="A90" s="231">
        <v>3320</v>
      </c>
      <c r="B90" s="4">
        <v>103424</v>
      </c>
      <c r="C90" s="4" t="s">
        <v>622</v>
      </c>
      <c r="D90" s="4" t="s">
        <v>623</v>
      </c>
      <c r="E90" s="213" t="s">
        <v>5</v>
      </c>
      <c r="F90" s="248" t="s">
        <v>411</v>
      </c>
      <c r="G90" s="37"/>
      <c r="H90" s="273">
        <v>0</v>
      </c>
      <c r="I90" s="271">
        <v>0</v>
      </c>
      <c r="J90" s="212">
        <v>0</v>
      </c>
      <c r="K90" s="212">
        <f t="shared" si="2"/>
        <v>0</v>
      </c>
      <c r="L90" s="37"/>
      <c r="M90" s="369">
        <v>0</v>
      </c>
      <c r="N90" s="273"/>
    </row>
    <row r="91" spans="1:14">
      <c r="A91" s="231">
        <v>2191</v>
      </c>
      <c r="B91" s="4">
        <v>103267</v>
      </c>
      <c r="C91" s="4" t="s">
        <v>625</v>
      </c>
      <c r="D91" s="4" t="s">
        <v>626</v>
      </c>
      <c r="E91" s="213" t="s">
        <v>5</v>
      </c>
      <c r="F91" s="248" t="s">
        <v>411</v>
      </c>
      <c r="G91" s="37"/>
      <c r="H91" s="273">
        <v>5139.75</v>
      </c>
      <c r="I91" s="271">
        <v>5139.75</v>
      </c>
      <c r="J91" s="212">
        <v>0</v>
      </c>
      <c r="K91" s="212">
        <f t="shared" si="2"/>
        <v>5139.75</v>
      </c>
      <c r="L91" s="37"/>
      <c r="M91" s="369">
        <v>0</v>
      </c>
      <c r="N91" s="273"/>
    </row>
    <row r="92" spans="1:14">
      <c r="A92" s="231">
        <v>2284</v>
      </c>
      <c r="B92" s="4">
        <v>103313</v>
      </c>
      <c r="C92" s="4" t="s">
        <v>628</v>
      </c>
      <c r="D92" s="4" t="s">
        <v>629</v>
      </c>
      <c r="E92" s="213" t="s">
        <v>5</v>
      </c>
      <c r="F92" s="248" t="s">
        <v>411</v>
      </c>
      <c r="G92" s="37"/>
      <c r="H92" s="273">
        <v>5139.75</v>
      </c>
      <c r="I92" s="271">
        <v>5139.75</v>
      </c>
      <c r="J92" s="212">
        <v>0</v>
      </c>
      <c r="K92" s="212">
        <f t="shared" si="2"/>
        <v>5139.75</v>
      </c>
      <c r="L92" s="37"/>
      <c r="M92" s="369">
        <v>0</v>
      </c>
      <c r="N92" s="273"/>
    </row>
    <row r="93" spans="1:14">
      <c r="A93" s="231">
        <v>1026</v>
      </c>
      <c r="B93" s="4">
        <v>103139</v>
      </c>
      <c r="C93" s="4" t="s">
        <v>631</v>
      </c>
      <c r="D93" s="4" t="s">
        <v>632</v>
      </c>
      <c r="E93" s="213" t="s">
        <v>180</v>
      </c>
      <c r="F93" s="248" t="s">
        <v>411</v>
      </c>
      <c r="G93" s="37"/>
      <c r="H93" s="273">
        <v>3291.75</v>
      </c>
      <c r="I93" s="271">
        <v>3291.75</v>
      </c>
      <c r="J93" s="212">
        <v>0</v>
      </c>
      <c r="K93" s="212">
        <f t="shared" si="2"/>
        <v>3291.75</v>
      </c>
      <c r="L93" s="37"/>
      <c r="M93" s="369">
        <v>0</v>
      </c>
      <c r="N93" s="273"/>
    </row>
    <row r="94" spans="1:14">
      <c r="A94" s="231">
        <v>2294</v>
      </c>
      <c r="B94" s="4">
        <v>103318</v>
      </c>
      <c r="C94" s="4" t="s">
        <v>634</v>
      </c>
      <c r="D94" s="4" t="s">
        <v>635</v>
      </c>
      <c r="E94" s="213" t="s">
        <v>5</v>
      </c>
      <c r="F94" s="248" t="s">
        <v>411</v>
      </c>
      <c r="G94" s="37"/>
      <c r="H94" s="273">
        <v>9471</v>
      </c>
      <c r="I94" s="271">
        <v>9471</v>
      </c>
      <c r="J94" s="212">
        <v>0</v>
      </c>
      <c r="K94" s="212">
        <f t="shared" si="2"/>
        <v>9471</v>
      </c>
      <c r="L94" s="37"/>
      <c r="M94" s="369">
        <v>0</v>
      </c>
      <c r="N94" s="273"/>
    </row>
    <row r="95" spans="1:14">
      <c r="A95" s="231">
        <v>1006</v>
      </c>
      <c r="B95" s="4">
        <v>103122</v>
      </c>
      <c r="C95" s="4" t="s">
        <v>637</v>
      </c>
      <c r="D95" s="4" t="s">
        <v>638</v>
      </c>
      <c r="E95" s="213" t="s">
        <v>180</v>
      </c>
      <c r="F95" s="248" t="s">
        <v>411</v>
      </c>
      <c r="G95" s="37"/>
      <c r="H95" s="273">
        <v>3291.75</v>
      </c>
      <c r="I95" s="271">
        <v>3291.75</v>
      </c>
      <c r="J95" s="212">
        <v>0</v>
      </c>
      <c r="K95" s="212">
        <f t="shared" si="2"/>
        <v>3291.75</v>
      </c>
      <c r="L95" s="37"/>
      <c r="M95" s="369">
        <v>26200</v>
      </c>
      <c r="N95" s="378">
        <v>22776</v>
      </c>
    </row>
    <row r="96" spans="1:14">
      <c r="A96" s="231">
        <v>2079</v>
      </c>
      <c r="B96" s="4">
        <v>103200</v>
      </c>
      <c r="C96" s="4" t="s">
        <v>640</v>
      </c>
      <c r="D96" s="4" t="s">
        <v>641</v>
      </c>
      <c r="E96" s="213" t="s">
        <v>5</v>
      </c>
      <c r="F96" s="248" t="s">
        <v>411</v>
      </c>
      <c r="G96" s="37"/>
      <c r="H96" s="273">
        <v>0</v>
      </c>
      <c r="I96" s="271">
        <v>0</v>
      </c>
      <c r="J96" s="212">
        <v>8600</v>
      </c>
      <c r="K96" s="212">
        <f t="shared" si="2"/>
        <v>8600</v>
      </c>
      <c r="L96" s="37"/>
      <c r="M96" s="369">
        <v>0</v>
      </c>
      <c r="N96" s="273"/>
    </row>
    <row r="97" spans="1:14">
      <c r="A97" s="231">
        <v>1015</v>
      </c>
      <c r="B97" s="4">
        <v>103128</v>
      </c>
      <c r="C97" s="4" t="s">
        <v>643</v>
      </c>
      <c r="D97" s="4" t="s">
        <v>644</v>
      </c>
      <c r="E97" s="213" t="s">
        <v>180</v>
      </c>
      <c r="F97" s="248" t="s">
        <v>411</v>
      </c>
      <c r="G97" s="37"/>
      <c r="H97" s="273">
        <v>3291.75</v>
      </c>
      <c r="I97" s="271">
        <v>3291.75</v>
      </c>
      <c r="J97" s="212">
        <v>0</v>
      </c>
      <c r="K97" s="212">
        <f t="shared" si="2"/>
        <v>3291.75</v>
      </c>
      <c r="L97" s="37"/>
      <c r="M97" s="369">
        <v>0</v>
      </c>
      <c r="N97" s="273"/>
    </row>
    <row r="98" spans="1:14">
      <c r="A98" s="231">
        <v>1022</v>
      </c>
      <c r="B98" s="4">
        <v>103135</v>
      </c>
      <c r="C98" s="4" t="s">
        <v>646</v>
      </c>
      <c r="D98" s="4" t="s">
        <v>647</v>
      </c>
      <c r="E98" s="213" t="s">
        <v>180</v>
      </c>
      <c r="F98" s="248" t="s">
        <v>411</v>
      </c>
      <c r="G98" s="37"/>
      <c r="H98" s="273">
        <v>3291.75</v>
      </c>
      <c r="I98" s="271">
        <v>3291.75</v>
      </c>
      <c r="J98" s="212">
        <v>0</v>
      </c>
      <c r="K98" s="212">
        <f t="shared" si="2"/>
        <v>3291.75</v>
      </c>
      <c r="L98" s="37"/>
      <c r="M98" s="369">
        <v>0</v>
      </c>
      <c r="N98" s="273"/>
    </row>
    <row r="99" spans="1:14">
      <c r="A99" s="231">
        <v>2087</v>
      </c>
      <c r="B99" s="4">
        <v>103205</v>
      </c>
      <c r="C99" s="4" t="s">
        <v>649</v>
      </c>
      <c r="D99" s="4" t="s">
        <v>650</v>
      </c>
      <c r="E99" s="213" t="s">
        <v>5</v>
      </c>
      <c r="F99" s="248" t="s">
        <v>411</v>
      </c>
      <c r="G99" s="37"/>
      <c r="H99" s="273">
        <v>9471</v>
      </c>
      <c r="I99" s="271">
        <v>9471</v>
      </c>
      <c r="J99" s="212">
        <v>0</v>
      </c>
      <c r="K99" s="212">
        <f t="shared" si="2"/>
        <v>9471</v>
      </c>
      <c r="L99" s="37"/>
      <c r="M99" s="369">
        <v>0</v>
      </c>
      <c r="N99" s="273"/>
    </row>
    <row r="100" spans="1:14">
      <c r="A100" s="231">
        <v>2466</v>
      </c>
      <c r="B100" s="4">
        <v>103392</v>
      </c>
      <c r="C100" s="4" t="s">
        <v>652</v>
      </c>
      <c r="D100" s="4" t="s">
        <v>653</v>
      </c>
      <c r="E100" s="213" t="s">
        <v>5</v>
      </c>
      <c r="F100" s="248" t="s">
        <v>411</v>
      </c>
      <c r="G100" s="37"/>
      <c r="H100" s="273">
        <v>18745.650000000001</v>
      </c>
      <c r="I100" s="271">
        <v>18745.650000000001</v>
      </c>
      <c r="J100" s="212">
        <v>0</v>
      </c>
      <c r="K100" s="212">
        <f t="shared" si="2"/>
        <v>18745.650000000001</v>
      </c>
      <c r="L100" s="37"/>
      <c r="M100" s="369">
        <v>0</v>
      </c>
      <c r="N100" s="273"/>
    </row>
    <row r="101" spans="1:14">
      <c r="A101" s="231">
        <v>2091</v>
      </c>
      <c r="B101" s="4">
        <v>103208</v>
      </c>
      <c r="C101" s="4" t="s">
        <v>655</v>
      </c>
      <c r="D101" s="4" t="s">
        <v>656</v>
      </c>
      <c r="E101" s="213" t="s">
        <v>5</v>
      </c>
      <c r="F101" s="248" t="s">
        <v>411</v>
      </c>
      <c r="G101" s="37"/>
      <c r="H101" s="273">
        <v>5139.75</v>
      </c>
      <c r="I101" s="271">
        <v>5139.75</v>
      </c>
      <c r="J101" s="212">
        <v>0</v>
      </c>
      <c r="K101" s="212">
        <f t="shared" si="2"/>
        <v>5139.75</v>
      </c>
      <c r="L101" s="37"/>
      <c r="M101" s="369">
        <v>0</v>
      </c>
      <c r="N101" s="273"/>
    </row>
    <row r="102" spans="1:14">
      <c r="A102" s="231">
        <v>7006</v>
      </c>
      <c r="B102" s="4">
        <v>103600</v>
      </c>
      <c r="C102" s="4" t="s">
        <v>658</v>
      </c>
      <c r="D102" s="4" t="s">
        <v>659</v>
      </c>
      <c r="E102" s="213" t="s">
        <v>1093</v>
      </c>
      <c r="F102" s="248" t="s">
        <v>411</v>
      </c>
      <c r="G102" s="37"/>
      <c r="H102" s="273">
        <v>3291.75</v>
      </c>
      <c r="I102" s="271">
        <v>5139.75</v>
      </c>
      <c r="J102" s="212">
        <v>0</v>
      </c>
      <c r="K102" s="212">
        <f t="shared" si="2"/>
        <v>5139.75</v>
      </c>
      <c r="L102" s="37"/>
      <c r="M102" s="369">
        <v>0</v>
      </c>
      <c r="N102" s="273"/>
    </row>
    <row r="103" spans="1:14">
      <c r="A103" s="231">
        <v>2477</v>
      </c>
      <c r="B103" s="4">
        <v>132261</v>
      </c>
      <c r="C103" s="4" t="s">
        <v>661</v>
      </c>
      <c r="D103" s="4" t="s">
        <v>662</v>
      </c>
      <c r="E103" s="213" t="s">
        <v>5</v>
      </c>
      <c r="F103" s="248" t="s">
        <v>411</v>
      </c>
      <c r="G103" s="37"/>
      <c r="H103" s="273">
        <v>24312.75</v>
      </c>
      <c r="I103" s="271">
        <v>24312.75</v>
      </c>
      <c r="J103" s="212">
        <v>0</v>
      </c>
      <c r="K103" s="212">
        <f t="shared" si="2"/>
        <v>24312.75</v>
      </c>
      <c r="L103" s="37"/>
      <c r="M103" s="369">
        <v>0</v>
      </c>
      <c r="N103" s="273"/>
    </row>
    <row r="104" spans="1:14">
      <c r="A104" s="231">
        <v>3436</v>
      </c>
      <c r="B104" s="4">
        <v>136440</v>
      </c>
      <c r="C104" s="4" t="s">
        <v>664</v>
      </c>
      <c r="D104" s="4" t="s">
        <v>665</v>
      </c>
      <c r="E104" s="213" t="s">
        <v>5</v>
      </c>
      <c r="F104" s="248" t="s">
        <v>411</v>
      </c>
      <c r="G104" s="37"/>
      <c r="H104" s="273">
        <v>5139.75</v>
      </c>
      <c r="I104" s="271">
        <v>5139.75</v>
      </c>
      <c r="J104" s="212">
        <v>0</v>
      </c>
      <c r="K104" s="212">
        <f t="shared" si="2"/>
        <v>5139.75</v>
      </c>
      <c r="L104" s="37"/>
      <c r="M104" s="369">
        <v>0</v>
      </c>
      <c r="N104" s="273"/>
    </row>
    <row r="105" spans="1:14">
      <c r="A105" s="231">
        <v>1010</v>
      </c>
      <c r="B105" s="4">
        <v>103125</v>
      </c>
      <c r="C105" s="4" t="s">
        <v>667</v>
      </c>
      <c r="D105" s="4" t="s">
        <v>668</v>
      </c>
      <c r="E105" s="213" t="s">
        <v>180</v>
      </c>
      <c r="F105" s="248" t="s">
        <v>411</v>
      </c>
      <c r="G105" s="37"/>
      <c r="H105" s="273">
        <v>3291.75</v>
      </c>
      <c r="I105" s="271">
        <v>3291.75</v>
      </c>
      <c r="J105" s="212">
        <v>0</v>
      </c>
      <c r="K105" s="212">
        <f t="shared" si="2"/>
        <v>3291.75</v>
      </c>
      <c r="L105" s="37"/>
      <c r="M105" s="369">
        <v>0</v>
      </c>
      <c r="N105" s="273"/>
    </row>
    <row r="106" spans="1:14">
      <c r="A106" s="231">
        <v>3411</v>
      </c>
      <c r="B106" s="4">
        <v>103479</v>
      </c>
      <c r="C106" s="4" t="s">
        <v>673</v>
      </c>
      <c r="D106" s="4" t="s">
        <v>674</v>
      </c>
      <c r="E106" s="213" t="s">
        <v>5</v>
      </c>
      <c r="F106" s="248" t="s">
        <v>411</v>
      </c>
      <c r="G106" s="37"/>
      <c r="H106" s="273">
        <v>0</v>
      </c>
      <c r="I106" s="271">
        <v>0</v>
      </c>
      <c r="J106" s="212">
        <v>4100</v>
      </c>
      <c r="K106" s="212">
        <f t="shared" si="2"/>
        <v>4100</v>
      </c>
      <c r="L106" s="37"/>
      <c r="M106" s="369">
        <v>0</v>
      </c>
      <c r="N106" s="273"/>
    </row>
    <row r="107" spans="1:14">
      <c r="A107" s="231">
        <v>2474</v>
      </c>
      <c r="B107" s="4">
        <v>131672</v>
      </c>
      <c r="C107" s="4" t="s">
        <v>676</v>
      </c>
      <c r="D107" s="4" t="s">
        <v>677</v>
      </c>
      <c r="E107" s="213" t="s">
        <v>5</v>
      </c>
      <c r="F107" s="248" t="s">
        <v>411</v>
      </c>
      <c r="G107" s="37"/>
      <c r="H107" s="273">
        <v>9471</v>
      </c>
      <c r="I107" s="271">
        <v>9471</v>
      </c>
      <c r="J107" s="212">
        <v>0</v>
      </c>
      <c r="K107" s="212">
        <f t="shared" si="2"/>
        <v>9471</v>
      </c>
      <c r="L107" s="37"/>
      <c r="M107" s="369">
        <v>0</v>
      </c>
      <c r="N107" s="273"/>
    </row>
    <row r="108" spans="1:14">
      <c r="A108" s="231">
        <v>3317</v>
      </c>
      <c r="B108" s="4">
        <v>103421</v>
      </c>
      <c r="C108" s="4" t="s">
        <v>679</v>
      </c>
      <c r="D108" s="4" t="s">
        <v>161</v>
      </c>
      <c r="E108" s="213" t="s">
        <v>5</v>
      </c>
      <c r="F108" s="248" t="s">
        <v>411</v>
      </c>
      <c r="G108" s="37"/>
      <c r="H108" s="273">
        <v>0</v>
      </c>
      <c r="I108" s="271">
        <v>0</v>
      </c>
      <c r="J108" s="212">
        <v>0</v>
      </c>
      <c r="K108" s="212">
        <f t="shared" si="2"/>
        <v>0</v>
      </c>
      <c r="L108" s="37"/>
      <c r="M108" s="369">
        <v>0</v>
      </c>
      <c r="N108" s="273"/>
    </row>
    <row r="109" spans="1:14">
      <c r="A109" s="231">
        <v>1023</v>
      </c>
      <c r="B109" s="4">
        <v>103136</v>
      </c>
      <c r="C109" s="4" t="s">
        <v>681</v>
      </c>
      <c r="D109" s="4" t="s">
        <v>682</v>
      </c>
      <c r="E109" s="213" t="s">
        <v>180</v>
      </c>
      <c r="F109" s="248" t="s">
        <v>411</v>
      </c>
      <c r="G109" s="37"/>
      <c r="H109" s="273">
        <v>3291.75</v>
      </c>
      <c r="I109" s="271">
        <v>3291.75</v>
      </c>
      <c r="J109" s="212">
        <v>0</v>
      </c>
      <c r="K109" s="212">
        <f t="shared" si="2"/>
        <v>3291.75</v>
      </c>
      <c r="L109" s="37"/>
      <c r="M109" s="369">
        <v>0</v>
      </c>
      <c r="N109" s="273"/>
    </row>
    <row r="110" spans="1:14">
      <c r="A110" s="231">
        <v>3352</v>
      </c>
      <c r="B110" s="4">
        <v>103444</v>
      </c>
      <c r="C110" s="4" t="s">
        <v>684</v>
      </c>
      <c r="D110" s="4" t="s">
        <v>685</v>
      </c>
      <c r="E110" s="213" t="s">
        <v>5</v>
      </c>
      <c r="F110" s="248" t="s">
        <v>411</v>
      </c>
      <c r="G110" s="37"/>
      <c r="H110" s="273">
        <v>5139.75</v>
      </c>
      <c r="I110" s="271">
        <v>5139.75</v>
      </c>
      <c r="J110" s="212">
        <v>0</v>
      </c>
      <c r="K110" s="212">
        <f t="shared" si="2"/>
        <v>5139.75</v>
      </c>
      <c r="L110" s="37"/>
      <c r="M110" s="369">
        <v>0</v>
      </c>
      <c r="N110" s="273"/>
    </row>
    <row r="111" spans="1:14">
      <c r="A111" s="231">
        <v>2005</v>
      </c>
      <c r="B111" s="4">
        <v>134098</v>
      </c>
      <c r="C111" s="4" t="s">
        <v>690</v>
      </c>
      <c r="D111" s="4" t="s">
        <v>691</v>
      </c>
      <c r="E111" s="213" t="s">
        <v>5</v>
      </c>
      <c r="F111" s="248" t="s">
        <v>411</v>
      </c>
      <c r="G111" s="37"/>
      <c r="H111" s="273">
        <v>18745.650000000001</v>
      </c>
      <c r="I111" s="271">
        <v>18745.650000000001</v>
      </c>
      <c r="J111" s="212">
        <v>0</v>
      </c>
      <c r="K111" s="212">
        <f t="shared" si="2"/>
        <v>18745.650000000001</v>
      </c>
      <c r="L111" s="37"/>
      <c r="M111" s="369">
        <v>17053.918615384617</v>
      </c>
      <c r="N111" s="273"/>
    </row>
    <row r="112" spans="1:14">
      <c r="A112" s="231">
        <v>1016</v>
      </c>
      <c r="B112" s="4">
        <v>103129</v>
      </c>
      <c r="C112" s="4" t="s">
        <v>693</v>
      </c>
      <c r="D112" s="4" t="s">
        <v>694</v>
      </c>
      <c r="E112" s="213" t="s">
        <v>180</v>
      </c>
      <c r="F112" s="248" t="s">
        <v>411</v>
      </c>
      <c r="G112" s="37"/>
      <c r="H112" s="273">
        <v>3291.75</v>
      </c>
      <c r="I112" s="271">
        <v>3291.75</v>
      </c>
      <c r="J112" s="212">
        <v>0</v>
      </c>
      <c r="K112" s="212">
        <f t="shared" si="2"/>
        <v>3291.75</v>
      </c>
      <c r="L112" s="37"/>
      <c r="M112" s="369">
        <v>0</v>
      </c>
      <c r="N112" s="273"/>
    </row>
    <row r="113" spans="1:14">
      <c r="A113" s="231">
        <v>2115</v>
      </c>
      <c r="B113" s="4">
        <v>103221</v>
      </c>
      <c r="C113" s="4" t="s">
        <v>696</v>
      </c>
      <c r="D113" s="4" t="s">
        <v>697</v>
      </c>
      <c r="E113" s="213" t="s">
        <v>5</v>
      </c>
      <c r="F113" s="248" t="s">
        <v>411</v>
      </c>
      <c r="G113" s="37"/>
      <c r="H113" s="273">
        <v>5139.75</v>
      </c>
      <c r="I113" s="271">
        <v>5139.75</v>
      </c>
      <c r="J113" s="212">
        <v>0</v>
      </c>
      <c r="K113" s="212">
        <f t="shared" si="2"/>
        <v>5139.75</v>
      </c>
      <c r="L113" s="37"/>
      <c r="M113" s="369">
        <v>0</v>
      </c>
      <c r="N113" s="273"/>
    </row>
    <row r="114" spans="1:14">
      <c r="A114" s="231">
        <v>2441</v>
      </c>
      <c r="B114" s="4">
        <v>103368</v>
      </c>
      <c r="C114" s="4" t="s">
        <v>699</v>
      </c>
      <c r="D114" s="4" t="s">
        <v>700</v>
      </c>
      <c r="E114" s="213" t="s">
        <v>5</v>
      </c>
      <c r="F114" s="248" t="s">
        <v>411</v>
      </c>
      <c r="G114" s="37"/>
      <c r="H114" s="273">
        <v>9471</v>
      </c>
      <c r="I114" s="271">
        <v>9471</v>
      </c>
      <c r="J114" s="212">
        <v>0</v>
      </c>
      <c r="K114" s="212">
        <f t="shared" si="2"/>
        <v>9471</v>
      </c>
      <c r="L114" s="37"/>
      <c r="M114" s="369">
        <v>0</v>
      </c>
      <c r="N114" s="273"/>
    </row>
    <row r="115" spans="1:14">
      <c r="A115" s="231">
        <v>2321</v>
      </c>
      <c r="B115" s="4">
        <v>103339</v>
      </c>
      <c r="C115" s="4" t="s">
        <v>702</v>
      </c>
      <c r="D115" s="4" t="s">
        <v>863</v>
      </c>
      <c r="E115" s="213" t="s">
        <v>5</v>
      </c>
      <c r="F115" s="248" t="s">
        <v>411</v>
      </c>
      <c r="G115" s="37"/>
      <c r="H115" s="273">
        <v>5139.75</v>
      </c>
      <c r="I115" s="271">
        <v>5139.75</v>
      </c>
      <c r="J115" s="212">
        <v>0</v>
      </c>
      <c r="K115" s="212">
        <f t="shared" si="2"/>
        <v>5139.75</v>
      </c>
      <c r="L115" s="37"/>
      <c r="M115" s="369">
        <v>0</v>
      </c>
      <c r="N115" s="273"/>
    </row>
    <row r="116" spans="1:14">
      <c r="A116" s="231">
        <v>1024</v>
      </c>
      <c r="B116" s="4">
        <v>103137</v>
      </c>
      <c r="C116" s="4" t="s">
        <v>705</v>
      </c>
      <c r="D116" s="4" t="s">
        <v>706</v>
      </c>
      <c r="E116" s="213" t="s">
        <v>180</v>
      </c>
      <c r="F116" s="248" t="s">
        <v>411</v>
      </c>
      <c r="G116" s="37"/>
      <c r="H116" s="273">
        <v>3291.75</v>
      </c>
      <c r="I116" s="271">
        <v>3291.75</v>
      </c>
      <c r="J116" s="212">
        <v>0</v>
      </c>
      <c r="K116" s="212">
        <f t="shared" si="2"/>
        <v>3291.75</v>
      </c>
      <c r="L116" s="37"/>
      <c r="M116" s="369">
        <v>0</v>
      </c>
      <c r="N116" s="273"/>
    </row>
    <row r="117" spans="1:14">
      <c r="A117" s="231">
        <v>7062</v>
      </c>
      <c r="B117" s="4">
        <v>103632</v>
      </c>
      <c r="C117" s="4" t="s">
        <v>708</v>
      </c>
      <c r="D117" s="4" t="s">
        <v>709</v>
      </c>
      <c r="E117" s="213" t="s">
        <v>1093</v>
      </c>
      <c r="F117" s="248" t="s">
        <v>411</v>
      </c>
      <c r="G117" s="37"/>
      <c r="H117" s="273">
        <v>3291.75</v>
      </c>
      <c r="I117" s="271">
        <v>3291.75</v>
      </c>
      <c r="J117" s="212">
        <v>0</v>
      </c>
      <c r="K117" s="212">
        <f t="shared" si="2"/>
        <v>3291.75</v>
      </c>
      <c r="L117" s="37"/>
      <c r="M117" s="369">
        <v>0</v>
      </c>
      <c r="N117" s="273"/>
    </row>
    <row r="118" spans="1:14">
      <c r="A118" s="231">
        <v>2004</v>
      </c>
      <c r="B118" s="4">
        <v>134094</v>
      </c>
      <c r="C118" s="4" t="s">
        <v>711</v>
      </c>
      <c r="D118" s="4" t="s">
        <v>712</v>
      </c>
      <c r="E118" s="213" t="s">
        <v>5</v>
      </c>
      <c r="F118" s="248" t="s">
        <v>411</v>
      </c>
      <c r="G118" s="37"/>
      <c r="H118" s="273">
        <v>9471</v>
      </c>
      <c r="I118" s="271">
        <v>9471</v>
      </c>
      <c r="J118" s="212">
        <v>0</v>
      </c>
      <c r="K118" s="212">
        <f t="shared" si="2"/>
        <v>9471</v>
      </c>
      <c r="L118" s="37"/>
      <c r="M118" s="369">
        <v>0</v>
      </c>
      <c r="N118" s="273"/>
    </row>
    <row r="119" spans="1:14">
      <c r="A119" s="231">
        <v>1012</v>
      </c>
      <c r="B119" s="4">
        <v>103126</v>
      </c>
      <c r="C119" s="4" t="s">
        <v>714</v>
      </c>
      <c r="D119" s="4" t="s">
        <v>715</v>
      </c>
      <c r="E119" s="213" t="s">
        <v>180</v>
      </c>
      <c r="F119" s="248" t="s">
        <v>411</v>
      </c>
      <c r="G119" s="37"/>
      <c r="H119" s="273">
        <v>3291.75</v>
      </c>
      <c r="I119" s="271">
        <v>3291.75</v>
      </c>
      <c r="J119" s="212">
        <v>0</v>
      </c>
      <c r="K119" s="212">
        <f t="shared" si="2"/>
        <v>3291.75</v>
      </c>
      <c r="L119" s="37"/>
      <c r="M119" s="369">
        <v>0</v>
      </c>
      <c r="N119" s="273"/>
    </row>
    <row r="120" spans="1:14">
      <c r="A120" s="231">
        <v>3003</v>
      </c>
      <c r="B120" s="4">
        <v>103398</v>
      </c>
      <c r="C120" s="4" t="s">
        <v>717</v>
      </c>
      <c r="D120" s="4" t="s">
        <v>718</v>
      </c>
      <c r="E120" s="213" t="s">
        <v>5</v>
      </c>
      <c r="F120" s="248" t="s">
        <v>411</v>
      </c>
      <c r="G120" s="37"/>
      <c r="H120" s="273">
        <v>5139.75</v>
      </c>
      <c r="I120" s="271">
        <v>5139.75</v>
      </c>
      <c r="J120" s="212">
        <v>0</v>
      </c>
      <c r="K120" s="212">
        <f t="shared" si="2"/>
        <v>5139.75</v>
      </c>
      <c r="L120" s="37"/>
      <c r="M120" s="369">
        <v>0</v>
      </c>
      <c r="N120" s="273"/>
    </row>
    <row r="121" spans="1:14">
      <c r="A121" s="231">
        <v>2457</v>
      </c>
      <c r="B121" s="4">
        <v>103384</v>
      </c>
      <c r="C121" s="4" t="s">
        <v>720</v>
      </c>
      <c r="D121" s="4" t="s">
        <v>721</v>
      </c>
      <c r="E121" s="213" t="s">
        <v>5</v>
      </c>
      <c r="F121" s="248" t="s">
        <v>411</v>
      </c>
      <c r="G121" s="37"/>
      <c r="H121" s="273">
        <v>9471</v>
      </c>
      <c r="I121" s="271">
        <v>9471</v>
      </c>
      <c r="J121" s="212">
        <v>0</v>
      </c>
      <c r="K121" s="212">
        <f t="shared" si="2"/>
        <v>9471</v>
      </c>
      <c r="L121" s="37"/>
      <c r="M121" s="369">
        <v>13180.093528846155</v>
      </c>
      <c r="N121" s="273"/>
    </row>
    <row r="122" spans="1:14">
      <c r="A122" s="231">
        <v>2142</v>
      </c>
      <c r="B122" s="4">
        <v>103237</v>
      </c>
      <c r="C122" s="4" t="s">
        <v>723</v>
      </c>
      <c r="D122" s="4" t="s">
        <v>724</v>
      </c>
      <c r="E122" s="213" t="s">
        <v>5</v>
      </c>
      <c r="F122" s="248" t="s">
        <v>411</v>
      </c>
      <c r="G122" s="37"/>
      <c r="H122" s="273">
        <v>9471</v>
      </c>
      <c r="I122" s="271">
        <v>9471</v>
      </c>
      <c r="J122" s="212">
        <v>0</v>
      </c>
      <c r="K122" s="212">
        <f t="shared" si="2"/>
        <v>9471</v>
      </c>
      <c r="L122" s="37"/>
      <c r="M122" s="369">
        <v>0</v>
      </c>
      <c r="N122" s="273"/>
    </row>
    <row r="123" spans="1:14">
      <c r="A123" s="231">
        <v>2469</v>
      </c>
      <c r="B123" s="4">
        <v>103395</v>
      </c>
      <c r="C123" s="4" t="s">
        <v>726</v>
      </c>
      <c r="D123" s="4" t="s">
        <v>727</v>
      </c>
      <c r="E123" s="213" t="s">
        <v>5</v>
      </c>
      <c r="F123" s="248" t="s">
        <v>411</v>
      </c>
      <c r="G123" s="37"/>
      <c r="H123" s="273">
        <v>9471</v>
      </c>
      <c r="I123" s="271">
        <v>9471</v>
      </c>
      <c r="J123" s="212">
        <v>0</v>
      </c>
      <c r="K123" s="212">
        <f t="shared" si="2"/>
        <v>9471</v>
      </c>
      <c r="L123" s="37"/>
      <c r="M123" s="369">
        <v>0</v>
      </c>
      <c r="N123" s="273"/>
    </row>
    <row r="124" spans="1:14">
      <c r="A124" s="231">
        <v>3431</v>
      </c>
      <c r="B124" s="4">
        <v>134774</v>
      </c>
      <c r="C124" s="4" t="s">
        <v>729</v>
      </c>
      <c r="D124" s="4" t="s">
        <v>730</v>
      </c>
      <c r="E124" s="213" t="s">
        <v>5</v>
      </c>
      <c r="F124" s="248" t="s">
        <v>411</v>
      </c>
      <c r="G124" s="37"/>
      <c r="H124" s="273">
        <v>18745.650000000001</v>
      </c>
      <c r="I124" s="271">
        <v>18745.650000000001</v>
      </c>
      <c r="J124" s="212">
        <v>0</v>
      </c>
      <c r="K124" s="212">
        <f t="shared" si="2"/>
        <v>18745.650000000001</v>
      </c>
      <c r="L124" s="37"/>
      <c r="M124" s="369">
        <v>0</v>
      </c>
      <c r="N124" s="273"/>
    </row>
    <row r="125" spans="1:14">
      <c r="A125" s="231">
        <v>1028</v>
      </c>
      <c r="B125" s="4">
        <v>103141</v>
      </c>
      <c r="C125" s="4" t="s">
        <v>732</v>
      </c>
      <c r="D125" s="4" t="s">
        <v>733</v>
      </c>
      <c r="E125" s="213" t="s">
        <v>180</v>
      </c>
      <c r="F125" s="248" t="s">
        <v>411</v>
      </c>
      <c r="G125" s="37"/>
      <c r="H125" s="273">
        <v>3291.75</v>
      </c>
      <c r="I125" s="271">
        <v>3291.75</v>
      </c>
      <c r="J125" s="212">
        <v>0</v>
      </c>
      <c r="K125" s="212">
        <f t="shared" si="2"/>
        <v>3291.75</v>
      </c>
      <c r="L125" s="37"/>
      <c r="M125" s="369">
        <v>0</v>
      </c>
      <c r="N125" s="273"/>
    </row>
    <row r="126" spans="1:14">
      <c r="A126" s="231">
        <v>1049</v>
      </c>
      <c r="B126" s="4">
        <v>103145</v>
      </c>
      <c r="C126" s="4" t="s">
        <v>735</v>
      </c>
      <c r="D126" s="4" t="s">
        <v>736</v>
      </c>
      <c r="E126" s="213" t="s">
        <v>180</v>
      </c>
      <c r="F126" s="248" t="s">
        <v>411</v>
      </c>
      <c r="G126" s="37"/>
      <c r="H126" s="273">
        <v>3291.75</v>
      </c>
      <c r="I126" s="271">
        <v>3291.75</v>
      </c>
      <c r="J126" s="212">
        <v>0</v>
      </c>
      <c r="K126" s="212">
        <f t="shared" si="2"/>
        <v>3291.75</v>
      </c>
      <c r="L126" s="37"/>
      <c r="M126" s="369">
        <v>0</v>
      </c>
      <c r="N126" s="273"/>
    </row>
    <row r="127" spans="1:14">
      <c r="A127" s="231">
        <v>2149</v>
      </c>
      <c r="B127" s="4">
        <v>103240</v>
      </c>
      <c r="C127" s="4" t="s">
        <v>738</v>
      </c>
      <c r="D127" s="4" t="s">
        <v>739</v>
      </c>
      <c r="E127" s="213" t="s">
        <v>5</v>
      </c>
      <c r="F127" s="248" t="s">
        <v>411</v>
      </c>
      <c r="G127" s="37"/>
      <c r="H127" s="273">
        <v>9471</v>
      </c>
      <c r="I127" s="271">
        <v>9471</v>
      </c>
      <c r="J127" s="212">
        <v>0</v>
      </c>
      <c r="K127" s="212">
        <f t="shared" si="2"/>
        <v>9471</v>
      </c>
      <c r="L127" s="37"/>
      <c r="M127" s="369">
        <v>71791.346153846156</v>
      </c>
      <c r="N127" s="273"/>
    </row>
    <row r="128" spans="1:14">
      <c r="A128" s="231">
        <v>2150</v>
      </c>
      <c r="B128" s="4">
        <v>103241</v>
      </c>
      <c r="C128" s="4" t="s">
        <v>741</v>
      </c>
      <c r="D128" s="4" t="s">
        <v>742</v>
      </c>
      <c r="E128" s="213" t="s">
        <v>5</v>
      </c>
      <c r="F128" s="248" t="s">
        <v>411</v>
      </c>
      <c r="G128" s="37"/>
      <c r="H128" s="273">
        <v>5139.75</v>
      </c>
      <c r="I128" s="271">
        <v>5139.75</v>
      </c>
      <c r="J128" s="212">
        <v>0</v>
      </c>
      <c r="K128" s="212">
        <f t="shared" si="2"/>
        <v>5139.75</v>
      </c>
      <c r="L128" s="37"/>
      <c r="M128" s="369">
        <v>0</v>
      </c>
      <c r="N128" s="273"/>
    </row>
    <row r="129" spans="1:14">
      <c r="A129" s="231">
        <v>2425</v>
      </c>
      <c r="B129" s="4">
        <v>103356</v>
      </c>
      <c r="C129" s="4" t="s">
        <v>744</v>
      </c>
      <c r="D129" s="4" t="s">
        <v>745</v>
      </c>
      <c r="E129" s="213" t="s">
        <v>5</v>
      </c>
      <c r="F129" s="248" t="s">
        <v>411</v>
      </c>
      <c r="G129" s="37"/>
      <c r="H129" s="273">
        <v>5139.75</v>
      </c>
      <c r="I129" s="271">
        <v>5139.75</v>
      </c>
      <c r="J129" s="212">
        <v>0</v>
      </c>
      <c r="K129" s="212">
        <f t="shared" si="2"/>
        <v>5139.75</v>
      </c>
      <c r="L129" s="37"/>
      <c r="M129" s="369">
        <v>0</v>
      </c>
      <c r="N129" s="273"/>
    </row>
    <row r="130" spans="1:14">
      <c r="A130" s="231">
        <v>1008</v>
      </c>
      <c r="B130" s="4">
        <v>103123</v>
      </c>
      <c r="C130" s="4" t="s">
        <v>747</v>
      </c>
      <c r="D130" s="4" t="s">
        <v>748</v>
      </c>
      <c r="E130" s="213" t="s">
        <v>180</v>
      </c>
      <c r="F130" s="248" t="s">
        <v>411</v>
      </c>
      <c r="G130" s="37"/>
      <c r="H130" s="273">
        <v>3291.75</v>
      </c>
      <c r="I130" s="271">
        <v>3291.75</v>
      </c>
      <c r="J130" s="212">
        <v>0</v>
      </c>
      <c r="K130" s="212">
        <f t="shared" si="2"/>
        <v>3291.75</v>
      </c>
      <c r="L130" s="37"/>
      <c r="M130" s="369">
        <v>0</v>
      </c>
      <c r="N130" s="273"/>
    </row>
    <row r="131" spans="1:14">
      <c r="A131" s="231">
        <v>7034</v>
      </c>
      <c r="B131" s="4">
        <v>103614</v>
      </c>
      <c r="C131" s="4" t="s">
        <v>750</v>
      </c>
      <c r="D131" s="4" t="s">
        <v>751</v>
      </c>
      <c r="E131" s="213" t="s">
        <v>1093</v>
      </c>
      <c r="F131" s="248" t="s">
        <v>411</v>
      </c>
      <c r="G131" s="37"/>
      <c r="H131" s="273">
        <v>3291.75</v>
      </c>
      <c r="I131" s="271">
        <v>3291.75</v>
      </c>
      <c r="J131" s="212">
        <v>0</v>
      </c>
      <c r="K131" s="212">
        <f t="shared" si="2"/>
        <v>3291.75</v>
      </c>
      <c r="L131" s="37"/>
      <c r="M131" s="369">
        <v>0</v>
      </c>
      <c r="N131" s="273"/>
    </row>
    <row r="132" spans="1:14">
      <c r="A132" s="231">
        <v>2157</v>
      </c>
      <c r="B132" s="4">
        <v>103246</v>
      </c>
      <c r="C132" s="4" t="s">
        <v>753</v>
      </c>
      <c r="D132" s="4" t="s">
        <v>754</v>
      </c>
      <c r="E132" s="213" t="s">
        <v>5</v>
      </c>
      <c r="F132" s="248" t="s">
        <v>411</v>
      </c>
      <c r="G132" s="37"/>
      <c r="H132" s="273">
        <v>9471</v>
      </c>
      <c r="I132" s="271">
        <v>9471</v>
      </c>
      <c r="J132" s="212">
        <v>0</v>
      </c>
      <c r="K132" s="212">
        <f t="shared" si="2"/>
        <v>9471</v>
      </c>
      <c r="L132" s="37"/>
      <c r="M132" s="369">
        <v>0</v>
      </c>
      <c r="N132" s="273"/>
    </row>
    <row r="133" spans="1:14">
      <c r="A133" s="231">
        <v>2159</v>
      </c>
      <c r="B133" s="4">
        <v>103247</v>
      </c>
      <c r="C133" s="4" t="s">
        <v>756</v>
      </c>
      <c r="D133" s="4" t="s">
        <v>757</v>
      </c>
      <c r="E133" s="213" t="s">
        <v>5</v>
      </c>
      <c r="F133" s="248" t="s">
        <v>411</v>
      </c>
      <c r="G133" s="37"/>
      <c r="H133" s="273">
        <v>5139.75</v>
      </c>
      <c r="I133" s="271">
        <v>5139.75</v>
      </c>
      <c r="J133" s="212">
        <v>0</v>
      </c>
      <c r="K133" s="212">
        <f t="shared" si="2"/>
        <v>5139.75</v>
      </c>
      <c r="L133" s="37"/>
      <c r="M133" s="369">
        <v>0</v>
      </c>
      <c r="N133" s="273"/>
    </row>
    <row r="134" spans="1:14">
      <c r="A134" s="231">
        <v>2161</v>
      </c>
      <c r="B134" s="4">
        <v>103249</v>
      </c>
      <c r="C134" s="4" t="s">
        <v>759</v>
      </c>
      <c r="D134" s="4" t="s">
        <v>760</v>
      </c>
      <c r="E134" s="213" t="s">
        <v>5</v>
      </c>
      <c r="F134" s="248" t="s">
        <v>411</v>
      </c>
      <c r="G134" s="37"/>
      <c r="H134" s="273">
        <v>5139.75</v>
      </c>
      <c r="I134" s="271">
        <v>5139.75</v>
      </c>
      <c r="J134" s="212">
        <v>0</v>
      </c>
      <c r="K134" s="212">
        <f t="shared" si="2"/>
        <v>5139.75</v>
      </c>
      <c r="L134" s="37"/>
      <c r="M134" s="369">
        <v>0</v>
      </c>
      <c r="N134" s="273"/>
    </row>
    <row r="135" spans="1:14">
      <c r="A135" s="231">
        <v>1018</v>
      </c>
      <c r="B135" s="4">
        <v>103131</v>
      </c>
      <c r="C135" s="4" t="s">
        <v>762</v>
      </c>
      <c r="D135" s="4" t="s">
        <v>763</v>
      </c>
      <c r="E135" s="213" t="s">
        <v>180</v>
      </c>
      <c r="F135" s="248" t="s">
        <v>411</v>
      </c>
      <c r="G135" s="37"/>
      <c r="H135" s="273">
        <v>3291.75</v>
      </c>
      <c r="I135" s="271">
        <v>3291.75</v>
      </c>
      <c r="J135" s="212">
        <v>0</v>
      </c>
      <c r="K135" s="212">
        <f t="shared" si="2"/>
        <v>3291.75</v>
      </c>
      <c r="L135" s="37"/>
      <c r="M135" s="369">
        <v>0</v>
      </c>
      <c r="N135" s="273"/>
    </row>
    <row r="136" spans="1:14">
      <c r="A136" s="231">
        <v>1000</v>
      </c>
      <c r="B136" s="4">
        <v>137796</v>
      </c>
      <c r="C136" s="4" t="s">
        <v>765</v>
      </c>
      <c r="D136" s="4" t="s">
        <v>766</v>
      </c>
      <c r="E136" s="213" t="s">
        <v>180</v>
      </c>
      <c r="F136" s="248" t="s">
        <v>411</v>
      </c>
      <c r="G136" s="37"/>
      <c r="H136" s="273">
        <v>3291.75</v>
      </c>
      <c r="I136" s="271">
        <v>3291.75</v>
      </c>
      <c r="J136" s="212">
        <v>0</v>
      </c>
      <c r="K136" s="212">
        <f t="shared" si="2"/>
        <v>3291.75</v>
      </c>
      <c r="L136" s="37"/>
      <c r="M136" s="369">
        <v>0</v>
      </c>
      <c r="N136" s="273"/>
    </row>
    <row r="137" spans="1:14">
      <c r="A137" s="231">
        <v>2169</v>
      </c>
      <c r="B137" s="4">
        <v>103252</v>
      </c>
      <c r="C137" s="4" t="s">
        <v>768</v>
      </c>
      <c r="D137" s="4" t="s">
        <v>769</v>
      </c>
      <c r="E137" s="213" t="s">
        <v>5</v>
      </c>
      <c r="F137" s="248" t="s">
        <v>411</v>
      </c>
      <c r="G137" s="37"/>
      <c r="H137" s="273">
        <v>9471</v>
      </c>
      <c r="I137" s="271">
        <v>9471</v>
      </c>
      <c r="J137" s="212">
        <v>0</v>
      </c>
      <c r="K137" s="212">
        <f t="shared" si="2"/>
        <v>9471</v>
      </c>
      <c r="L137" s="37"/>
      <c r="M137" s="369">
        <v>0</v>
      </c>
      <c r="N137" s="273"/>
    </row>
    <row r="138" spans="1:14">
      <c r="A138" s="231">
        <v>7047</v>
      </c>
      <c r="B138" s="4">
        <v>103623</v>
      </c>
      <c r="C138" s="4" t="s">
        <v>771</v>
      </c>
      <c r="D138" s="4" t="s">
        <v>772</v>
      </c>
      <c r="E138" s="213" t="s">
        <v>1093</v>
      </c>
      <c r="F138" s="248" t="s">
        <v>411</v>
      </c>
      <c r="G138" s="37"/>
      <c r="H138" s="273">
        <v>3291.75</v>
      </c>
      <c r="I138" s="271">
        <v>3291.75</v>
      </c>
      <c r="J138" s="212">
        <v>0</v>
      </c>
      <c r="K138" s="212">
        <f t="shared" ref="K138:K201" si="3">I138+J138</f>
        <v>3291.75</v>
      </c>
      <c r="L138" s="37"/>
      <c r="M138" s="369">
        <v>0</v>
      </c>
      <c r="N138" s="273"/>
    </row>
    <row r="139" spans="1:14">
      <c r="A139" s="231">
        <v>3381</v>
      </c>
      <c r="B139" s="4">
        <v>103466</v>
      </c>
      <c r="C139" s="4" t="s">
        <v>774</v>
      </c>
      <c r="D139" s="4" t="s">
        <v>775</v>
      </c>
      <c r="E139" s="213" t="s">
        <v>5</v>
      </c>
      <c r="F139" s="248" t="s">
        <v>411</v>
      </c>
      <c r="G139" s="37"/>
      <c r="H139" s="273">
        <v>0</v>
      </c>
      <c r="I139" s="271">
        <v>0</v>
      </c>
      <c r="J139" s="212">
        <v>0</v>
      </c>
      <c r="K139" s="212">
        <f t="shared" si="3"/>
        <v>0</v>
      </c>
      <c r="L139" s="37"/>
      <c r="M139" s="369">
        <v>0</v>
      </c>
      <c r="N139" s="273"/>
    </row>
    <row r="140" spans="1:14">
      <c r="A140" s="231">
        <v>3329</v>
      </c>
      <c r="B140" s="4">
        <v>103431</v>
      </c>
      <c r="C140" s="4" t="s">
        <v>777</v>
      </c>
      <c r="D140" s="4" t="s">
        <v>778</v>
      </c>
      <c r="E140" s="213" t="s">
        <v>5</v>
      </c>
      <c r="F140" s="248" t="s">
        <v>411</v>
      </c>
      <c r="G140" s="37"/>
      <c r="H140" s="273">
        <v>5139.75</v>
      </c>
      <c r="I140" s="271">
        <v>5139.75</v>
      </c>
      <c r="J140" s="212">
        <v>0</v>
      </c>
      <c r="K140" s="212">
        <f t="shared" si="3"/>
        <v>5139.75</v>
      </c>
      <c r="L140" s="37"/>
      <c r="M140" s="369">
        <v>0</v>
      </c>
      <c r="N140" s="273"/>
    </row>
    <row r="141" spans="1:14">
      <c r="A141" s="231">
        <v>2183</v>
      </c>
      <c r="B141" s="4">
        <v>103261</v>
      </c>
      <c r="C141" s="4" t="s">
        <v>780</v>
      </c>
      <c r="D141" s="4" t="s">
        <v>781</v>
      </c>
      <c r="E141" s="213" t="s">
        <v>5</v>
      </c>
      <c r="F141" s="248" t="s">
        <v>411</v>
      </c>
      <c r="G141" s="37"/>
      <c r="H141" s="273">
        <v>9471</v>
      </c>
      <c r="I141" s="271">
        <v>9471</v>
      </c>
      <c r="J141" s="212">
        <v>0</v>
      </c>
      <c r="K141" s="212">
        <f t="shared" si="3"/>
        <v>9471</v>
      </c>
      <c r="L141" s="37"/>
      <c r="M141" s="369">
        <v>0</v>
      </c>
      <c r="N141" s="273"/>
    </row>
    <row r="142" spans="1:14">
      <c r="A142" s="231">
        <v>3331</v>
      </c>
      <c r="B142" s="4">
        <v>103433</v>
      </c>
      <c r="C142" s="4" t="s">
        <v>786</v>
      </c>
      <c r="D142" s="4" t="s">
        <v>787</v>
      </c>
      <c r="E142" s="213" t="s">
        <v>5</v>
      </c>
      <c r="F142" s="248" t="s">
        <v>411</v>
      </c>
      <c r="G142" s="37"/>
      <c r="H142" s="273">
        <v>0</v>
      </c>
      <c r="I142" s="271">
        <v>0</v>
      </c>
      <c r="J142" s="212">
        <v>0</v>
      </c>
      <c r="K142" s="212">
        <f t="shared" si="3"/>
        <v>0</v>
      </c>
      <c r="L142" s="37"/>
      <c r="M142" s="369">
        <v>0</v>
      </c>
      <c r="N142" s="273"/>
    </row>
    <row r="143" spans="1:14">
      <c r="A143" s="231">
        <v>3406</v>
      </c>
      <c r="B143" s="4">
        <v>103476</v>
      </c>
      <c r="C143" s="4" t="s">
        <v>789</v>
      </c>
      <c r="D143" s="4" t="s">
        <v>790</v>
      </c>
      <c r="E143" s="213" t="s">
        <v>5</v>
      </c>
      <c r="F143" s="248" t="s">
        <v>411</v>
      </c>
      <c r="G143" s="37"/>
      <c r="H143" s="273">
        <v>0</v>
      </c>
      <c r="I143" s="271">
        <v>0</v>
      </c>
      <c r="J143" s="212">
        <v>0</v>
      </c>
      <c r="K143" s="212">
        <f t="shared" si="3"/>
        <v>0</v>
      </c>
      <c r="L143" s="37"/>
      <c r="M143" s="369">
        <v>0</v>
      </c>
      <c r="N143" s="273"/>
    </row>
    <row r="144" spans="1:14">
      <c r="A144" s="231">
        <v>3386</v>
      </c>
      <c r="B144" s="4">
        <v>103470</v>
      </c>
      <c r="C144" s="4" t="s">
        <v>792</v>
      </c>
      <c r="D144" s="4" t="s">
        <v>793</v>
      </c>
      <c r="E144" s="213" t="s">
        <v>5</v>
      </c>
      <c r="F144" s="248" t="s">
        <v>411</v>
      </c>
      <c r="G144" s="37"/>
      <c r="H144" s="273">
        <v>5139.75</v>
      </c>
      <c r="I144" s="271">
        <v>5139.75</v>
      </c>
      <c r="J144" s="212">
        <v>0</v>
      </c>
      <c r="K144" s="212">
        <f t="shared" si="3"/>
        <v>5139.75</v>
      </c>
      <c r="L144" s="37"/>
      <c r="M144" s="369">
        <v>0</v>
      </c>
      <c r="N144" s="273"/>
    </row>
    <row r="145" spans="1:14">
      <c r="A145" s="231">
        <v>3342</v>
      </c>
      <c r="B145" s="4">
        <v>103437</v>
      </c>
      <c r="C145" s="4" t="s">
        <v>795</v>
      </c>
      <c r="D145" s="4" t="s">
        <v>796</v>
      </c>
      <c r="E145" s="213" t="s">
        <v>5</v>
      </c>
      <c r="F145" s="248" t="s">
        <v>411</v>
      </c>
      <c r="G145" s="37"/>
      <c r="H145" s="273">
        <v>0</v>
      </c>
      <c r="I145" s="271">
        <v>0</v>
      </c>
      <c r="J145" s="212">
        <v>0</v>
      </c>
      <c r="K145" s="212">
        <f t="shared" si="3"/>
        <v>0</v>
      </c>
      <c r="L145" s="37"/>
      <c r="M145" s="369">
        <v>0</v>
      </c>
      <c r="N145" s="273"/>
    </row>
    <row r="146" spans="1:14">
      <c r="A146" s="231">
        <v>3010</v>
      </c>
      <c r="B146" s="4">
        <v>103401</v>
      </c>
      <c r="C146" s="4" t="s">
        <v>798</v>
      </c>
      <c r="D146" s="4" t="s">
        <v>799</v>
      </c>
      <c r="E146" s="213" t="s">
        <v>5</v>
      </c>
      <c r="F146" s="248" t="s">
        <v>411</v>
      </c>
      <c r="G146" s="37"/>
      <c r="H146" s="273">
        <v>9471</v>
      </c>
      <c r="I146" s="271">
        <v>9471</v>
      </c>
      <c r="J146" s="212">
        <v>0</v>
      </c>
      <c r="K146" s="212">
        <f t="shared" si="3"/>
        <v>9471</v>
      </c>
      <c r="L146" s="37"/>
      <c r="M146" s="369">
        <v>0</v>
      </c>
      <c r="N146" s="273"/>
    </row>
    <row r="147" spans="1:14">
      <c r="A147" s="231">
        <v>4625</v>
      </c>
      <c r="B147" s="4">
        <v>103534</v>
      </c>
      <c r="C147" s="4" t="s">
        <v>801</v>
      </c>
      <c r="D147" s="4" t="s">
        <v>802</v>
      </c>
      <c r="E147" s="213" t="s">
        <v>6</v>
      </c>
      <c r="F147" s="248" t="s">
        <v>411</v>
      </c>
      <c r="G147" s="37"/>
      <c r="H147" s="273">
        <v>0</v>
      </c>
      <c r="I147" s="271">
        <v>0</v>
      </c>
      <c r="J147" s="212">
        <v>0</v>
      </c>
      <c r="K147" s="212">
        <f t="shared" si="3"/>
        <v>0</v>
      </c>
      <c r="L147" s="37"/>
      <c r="M147" s="369">
        <v>0</v>
      </c>
      <c r="N147" s="273"/>
    </row>
    <row r="148" spans="1:14">
      <c r="A148" s="231">
        <v>3307</v>
      </c>
      <c r="B148" s="4">
        <v>103416</v>
      </c>
      <c r="C148" s="4" t="s">
        <v>804</v>
      </c>
      <c r="D148" s="4" t="s">
        <v>805</v>
      </c>
      <c r="E148" s="213" t="s">
        <v>5</v>
      </c>
      <c r="F148" s="248" t="s">
        <v>411</v>
      </c>
      <c r="G148" s="37"/>
      <c r="H148" s="273">
        <v>9471</v>
      </c>
      <c r="I148" s="271">
        <v>9471</v>
      </c>
      <c r="J148" s="212">
        <v>0</v>
      </c>
      <c r="K148" s="212">
        <f t="shared" si="3"/>
        <v>9471</v>
      </c>
      <c r="L148" s="37"/>
      <c r="M148" s="369">
        <v>0</v>
      </c>
      <c r="N148" s="273"/>
    </row>
    <row r="149" spans="1:14">
      <c r="A149" s="231">
        <v>3382</v>
      </c>
      <c r="B149" s="4">
        <v>103467</v>
      </c>
      <c r="C149" s="4" t="s">
        <v>807</v>
      </c>
      <c r="D149" s="4" t="s">
        <v>808</v>
      </c>
      <c r="E149" s="213" t="s">
        <v>5</v>
      </c>
      <c r="F149" s="248" t="s">
        <v>411</v>
      </c>
      <c r="G149" s="37"/>
      <c r="H149" s="273">
        <v>0</v>
      </c>
      <c r="I149" s="271">
        <v>0</v>
      </c>
      <c r="J149" s="212">
        <v>0</v>
      </c>
      <c r="K149" s="212">
        <f t="shared" si="3"/>
        <v>0</v>
      </c>
      <c r="L149" s="37"/>
      <c r="M149" s="369">
        <v>0</v>
      </c>
      <c r="N149" s="273"/>
    </row>
    <row r="150" spans="1:14">
      <c r="A150" s="231">
        <v>3025</v>
      </c>
      <c r="B150" s="4">
        <v>103410</v>
      </c>
      <c r="C150" s="4" t="s">
        <v>810</v>
      </c>
      <c r="D150" s="4" t="s">
        <v>157</v>
      </c>
      <c r="E150" s="213" t="s">
        <v>5</v>
      </c>
      <c r="F150" s="248" t="s">
        <v>411</v>
      </c>
      <c r="G150" s="37"/>
      <c r="H150" s="273">
        <v>9471</v>
      </c>
      <c r="I150" s="271">
        <v>9471</v>
      </c>
      <c r="J150" s="212">
        <v>0</v>
      </c>
      <c r="K150" s="212">
        <f t="shared" si="3"/>
        <v>9471</v>
      </c>
      <c r="L150" s="37"/>
      <c r="M150" s="369">
        <v>0</v>
      </c>
      <c r="N150" s="273"/>
    </row>
    <row r="151" spans="1:14">
      <c r="A151" s="231">
        <v>3346</v>
      </c>
      <c r="B151" s="4">
        <v>103439</v>
      </c>
      <c r="C151" s="4" t="s">
        <v>812</v>
      </c>
      <c r="D151" s="4" t="s">
        <v>813</v>
      </c>
      <c r="E151" s="213" t="s">
        <v>5</v>
      </c>
      <c r="F151" s="248" t="s">
        <v>411</v>
      </c>
      <c r="G151" s="37"/>
      <c r="H151" s="273">
        <v>9471</v>
      </c>
      <c r="I151" s="271">
        <v>9471</v>
      </c>
      <c r="J151" s="212">
        <v>0</v>
      </c>
      <c r="K151" s="212">
        <f t="shared" si="3"/>
        <v>9471</v>
      </c>
      <c r="L151" s="37"/>
      <c r="M151" s="369">
        <v>0</v>
      </c>
      <c r="N151" s="273"/>
    </row>
    <row r="152" spans="1:14">
      <c r="A152" s="231">
        <v>3365</v>
      </c>
      <c r="B152" s="4">
        <v>103456</v>
      </c>
      <c r="C152" s="4" t="s">
        <v>815</v>
      </c>
      <c r="D152" s="4" t="s">
        <v>816</v>
      </c>
      <c r="E152" s="213" t="s">
        <v>5</v>
      </c>
      <c r="F152" s="248" t="s">
        <v>411</v>
      </c>
      <c r="G152" s="37"/>
      <c r="H152" s="273">
        <v>5139.75</v>
      </c>
      <c r="I152" s="271">
        <v>5139.75</v>
      </c>
      <c r="J152" s="212">
        <v>0</v>
      </c>
      <c r="K152" s="212">
        <f t="shared" si="3"/>
        <v>5139.75</v>
      </c>
      <c r="L152" s="37"/>
      <c r="M152" s="369">
        <v>0</v>
      </c>
      <c r="N152" s="273"/>
    </row>
    <row r="153" spans="1:14">
      <c r="A153" s="231">
        <v>1009</v>
      </c>
      <c r="B153" s="4">
        <v>103124</v>
      </c>
      <c r="C153" s="4" t="s">
        <v>818</v>
      </c>
      <c r="D153" s="4" t="s">
        <v>819</v>
      </c>
      <c r="E153" s="213" t="s">
        <v>180</v>
      </c>
      <c r="F153" s="248" t="s">
        <v>411</v>
      </c>
      <c r="G153" s="37"/>
      <c r="H153" s="273">
        <v>3291.75</v>
      </c>
      <c r="I153" s="271">
        <v>3291.75</v>
      </c>
      <c r="J153" s="212">
        <v>0</v>
      </c>
      <c r="K153" s="212">
        <f t="shared" si="3"/>
        <v>3291.75</v>
      </c>
      <c r="L153" s="37"/>
      <c r="M153" s="369">
        <v>0</v>
      </c>
      <c r="N153" s="273"/>
    </row>
    <row r="154" spans="1:14">
      <c r="A154" s="231">
        <v>3310</v>
      </c>
      <c r="B154" s="4">
        <v>103417</v>
      </c>
      <c r="C154" s="4" t="s">
        <v>821</v>
      </c>
      <c r="D154" s="4" t="s">
        <v>822</v>
      </c>
      <c r="E154" s="213" t="s">
        <v>5</v>
      </c>
      <c r="F154" s="248" t="s">
        <v>411</v>
      </c>
      <c r="G154" s="37"/>
      <c r="H154" s="273">
        <v>0</v>
      </c>
      <c r="I154" s="271">
        <v>0</v>
      </c>
      <c r="J154" s="212">
        <v>5350</v>
      </c>
      <c r="K154" s="212">
        <f t="shared" si="3"/>
        <v>5350</v>
      </c>
      <c r="L154" s="37"/>
      <c r="M154" s="369">
        <v>0</v>
      </c>
      <c r="N154" s="273"/>
    </row>
    <row r="155" spans="1:14">
      <c r="A155" s="231">
        <v>2067</v>
      </c>
      <c r="B155" s="4">
        <v>103196</v>
      </c>
      <c r="C155" s="4" t="s">
        <v>827</v>
      </c>
      <c r="D155" s="4" t="s">
        <v>828</v>
      </c>
      <c r="E155" s="213" t="s">
        <v>5</v>
      </c>
      <c r="F155" s="248" t="s">
        <v>411</v>
      </c>
      <c r="G155" s="37"/>
      <c r="H155" s="273">
        <v>0</v>
      </c>
      <c r="I155" s="271">
        <v>0</v>
      </c>
      <c r="J155" s="212">
        <v>0</v>
      </c>
      <c r="K155" s="212">
        <f t="shared" si="3"/>
        <v>0</v>
      </c>
      <c r="L155" s="37"/>
      <c r="M155" s="369">
        <v>0</v>
      </c>
      <c r="N155" s="273"/>
    </row>
    <row r="156" spans="1:14">
      <c r="A156" s="231">
        <v>2246</v>
      </c>
      <c r="B156" s="4">
        <v>103296</v>
      </c>
      <c r="C156" s="4" t="s">
        <v>830</v>
      </c>
      <c r="D156" s="4" t="s">
        <v>831</v>
      </c>
      <c r="E156" s="213" t="s">
        <v>5</v>
      </c>
      <c r="F156" s="248" t="s">
        <v>411</v>
      </c>
      <c r="G156" s="37"/>
      <c r="H156" s="273">
        <v>12566.4</v>
      </c>
      <c r="I156" s="271">
        <v>12566.4</v>
      </c>
      <c r="J156" s="212">
        <v>0</v>
      </c>
      <c r="K156" s="212">
        <f t="shared" si="3"/>
        <v>12566.4</v>
      </c>
      <c r="L156" s="37"/>
      <c r="M156" s="369">
        <v>119145.24519230769</v>
      </c>
      <c r="N156" s="273"/>
    </row>
    <row r="157" spans="1:14">
      <c r="A157" s="231">
        <v>2192</v>
      </c>
      <c r="B157" s="4">
        <v>103268</v>
      </c>
      <c r="C157" s="4" t="s">
        <v>833</v>
      </c>
      <c r="D157" s="4" t="s">
        <v>834</v>
      </c>
      <c r="E157" s="213" t="s">
        <v>5</v>
      </c>
      <c r="F157" s="248" t="s">
        <v>411</v>
      </c>
      <c r="G157" s="37"/>
      <c r="H157" s="273">
        <v>12566.4</v>
      </c>
      <c r="I157" s="271">
        <v>12566.4</v>
      </c>
      <c r="J157" s="212">
        <v>0</v>
      </c>
      <c r="K157" s="212">
        <f t="shared" si="3"/>
        <v>12566.4</v>
      </c>
      <c r="L157" s="37"/>
      <c r="M157" s="369">
        <v>0</v>
      </c>
      <c r="N157" s="273"/>
    </row>
    <row r="158" spans="1:14">
      <c r="A158" s="231">
        <v>2108</v>
      </c>
      <c r="B158" s="4">
        <v>103217</v>
      </c>
      <c r="C158" s="4" t="s">
        <v>836</v>
      </c>
      <c r="D158" s="4" t="s">
        <v>837</v>
      </c>
      <c r="E158" s="213" t="s">
        <v>5</v>
      </c>
      <c r="F158" s="248" t="s">
        <v>411</v>
      </c>
      <c r="G158" s="37"/>
      <c r="H158" s="273">
        <v>24312.75</v>
      </c>
      <c r="I158" s="271">
        <v>24312.75</v>
      </c>
      <c r="J158" s="212">
        <v>0</v>
      </c>
      <c r="K158" s="212">
        <f t="shared" si="3"/>
        <v>24312.75</v>
      </c>
      <c r="L158" s="37"/>
      <c r="M158" s="369">
        <v>89267.307692307688</v>
      </c>
      <c r="N158" s="273"/>
    </row>
    <row r="159" spans="1:14">
      <c r="A159" s="231">
        <v>1020</v>
      </c>
      <c r="B159" s="4">
        <v>103133</v>
      </c>
      <c r="C159" s="4" t="s">
        <v>839</v>
      </c>
      <c r="D159" s="4" t="s">
        <v>840</v>
      </c>
      <c r="E159" s="213" t="s">
        <v>180</v>
      </c>
      <c r="F159" s="248" t="s">
        <v>411</v>
      </c>
      <c r="G159" s="37"/>
      <c r="H159" s="273">
        <v>3291.75</v>
      </c>
      <c r="I159" s="271">
        <v>3291.75</v>
      </c>
      <c r="J159" s="212">
        <v>0</v>
      </c>
      <c r="K159" s="212">
        <f t="shared" si="3"/>
        <v>3291.75</v>
      </c>
      <c r="L159" s="37"/>
      <c r="M159" s="369">
        <v>0</v>
      </c>
      <c r="N159" s="273"/>
    </row>
    <row r="160" spans="1:14">
      <c r="A160" s="231">
        <v>1014</v>
      </c>
      <c r="B160" s="4">
        <v>103127</v>
      </c>
      <c r="C160" s="4" t="s">
        <v>842</v>
      </c>
      <c r="D160" s="4" t="s">
        <v>843</v>
      </c>
      <c r="E160" s="213" t="s">
        <v>180</v>
      </c>
      <c r="F160" s="248" t="s">
        <v>411</v>
      </c>
      <c r="G160" s="37"/>
      <c r="H160" s="273">
        <v>3291.75</v>
      </c>
      <c r="I160" s="271">
        <v>3291.75</v>
      </c>
      <c r="J160" s="212">
        <v>0</v>
      </c>
      <c r="K160" s="212">
        <f t="shared" si="3"/>
        <v>3291.75</v>
      </c>
      <c r="L160" s="37"/>
      <c r="M160" s="369">
        <v>0</v>
      </c>
      <c r="N160" s="273"/>
    </row>
    <row r="161" spans="1:14">
      <c r="A161" s="231">
        <v>2019</v>
      </c>
      <c r="B161" s="4">
        <v>134279</v>
      </c>
      <c r="C161" s="4" t="s">
        <v>845</v>
      </c>
      <c r="D161" s="4" t="s">
        <v>846</v>
      </c>
      <c r="E161" s="213" t="s">
        <v>5</v>
      </c>
      <c r="F161" s="248" t="s">
        <v>411</v>
      </c>
      <c r="G161" s="37"/>
      <c r="H161" s="273">
        <v>9471</v>
      </c>
      <c r="I161" s="271">
        <v>9471</v>
      </c>
      <c r="J161" s="212">
        <v>0</v>
      </c>
      <c r="K161" s="212">
        <f t="shared" si="3"/>
        <v>9471</v>
      </c>
      <c r="L161" s="37"/>
      <c r="M161" s="369">
        <v>0</v>
      </c>
      <c r="N161" s="273"/>
    </row>
    <row r="162" spans="1:14">
      <c r="A162" s="231">
        <v>2314</v>
      </c>
      <c r="B162" s="4">
        <v>103334</v>
      </c>
      <c r="C162" s="4" t="s">
        <v>848</v>
      </c>
      <c r="D162" s="4" t="s">
        <v>849</v>
      </c>
      <c r="E162" s="213" t="s">
        <v>5</v>
      </c>
      <c r="F162" s="248" t="s">
        <v>411</v>
      </c>
      <c r="G162" s="37"/>
      <c r="H162" s="273">
        <v>5139.75</v>
      </c>
      <c r="I162" s="271">
        <v>5139.75</v>
      </c>
      <c r="J162" s="212">
        <v>0</v>
      </c>
      <c r="K162" s="212">
        <f t="shared" si="3"/>
        <v>5139.75</v>
      </c>
      <c r="L162" s="37"/>
      <c r="M162" s="369">
        <v>0</v>
      </c>
      <c r="N162" s="273"/>
    </row>
    <row r="163" spans="1:14">
      <c r="A163" s="231">
        <v>2227</v>
      </c>
      <c r="B163" s="4">
        <v>103281</v>
      </c>
      <c r="C163" s="4" t="s">
        <v>851</v>
      </c>
      <c r="D163" s="4" t="s">
        <v>852</v>
      </c>
      <c r="E163" s="213" t="s">
        <v>5</v>
      </c>
      <c r="F163" s="248" t="s">
        <v>411</v>
      </c>
      <c r="G163" s="37"/>
      <c r="H163" s="273">
        <v>9471</v>
      </c>
      <c r="I163" s="271">
        <v>9471</v>
      </c>
      <c r="J163" s="212">
        <v>0</v>
      </c>
      <c r="K163" s="212">
        <f t="shared" si="3"/>
        <v>9471</v>
      </c>
      <c r="L163" s="37"/>
      <c r="M163" s="369">
        <v>0</v>
      </c>
      <c r="N163" s="273"/>
    </row>
    <row r="164" spans="1:14">
      <c r="A164" s="231">
        <v>2231</v>
      </c>
      <c r="B164" s="4">
        <v>103284</v>
      </c>
      <c r="C164" s="4" t="s">
        <v>854</v>
      </c>
      <c r="D164" s="4" t="s">
        <v>855</v>
      </c>
      <c r="E164" s="213" t="s">
        <v>5</v>
      </c>
      <c r="F164" s="248" t="s">
        <v>411</v>
      </c>
      <c r="G164" s="37"/>
      <c r="H164" s="273">
        <v>9471</v>
      </c>
      <c r="I164" s="271">
        <v>9471</v>
      </c>
      <c r="J164" s="212">
        <v>0</v>
      </c>
      <c r="K164" s="212">
        <f t="shared" si="3"/>
        <v>9471</v>
      </c>
      <c r="L164" s="37"/>
      <c r="M164" s="369">
        <v>0</v>
      </c>
      <c r="N164" s="273"/>
    </row>
    <row r="165" spans="1:14">
      <c r="A165" s="231">
        <v>2153</v>
      </c>
      <c r="B165" s="4">
        <v>103243</v>
      </c>
      <c r="C165" s="4" t="s">
        <v>414</v>
      </c>
      <c r="D165" s="4" t="s">
        <v>416</v>
      </c>
      <c r="E165" s="213" t="s">
        <v>5</v>
      </c>
      <c r="F165" s="248" t="s">
        <v>415</v>
      </c>
      <c r="G165" s="37"/>
      <c r="H165" s="273">
        <v>9471</v>
      </c>
      <c r="I165" s="271">
        <v>9471</v>
      </c>
      <c r="J165" s="212">
        <v>0</v>
      </c>
      <c r="K165" s="212">
        <f t="shared" si="3"/>
        <v>9471</v>
      </c>
      <c r="L165" s="37"/>
      <c r="M165" s="369">
        <v>215063.14102564103</v>
      </c>
      <c r="N165" s="273"/>
    </row>
    <row r="166" spans="1:14">
      <c r="A166" s="231">
        <v>2479</v>
      </c>
      <c r="B166" s="4">
        <v>132074</v>
      </c>
      <c r="C166" s="4" t="s">
        <v>418</v>
      </c>
      <c r="D166" s="4" t="s">
        <v>419</v>
      </c>
      <c r="E166" s="213" t="s">
        <v>5</v>
      </c>
      <c r="F166" s="248" t="s">
        <v>415</v>
      </c>
      <c r="G166" s="37"/>
      <c r="H166" s="273">
        <v>18745.650000000001</v>
      </c>
      <c r="I166" s="271">
        <v>18745.650000000001</v>
      </c>
      <c r="J166" s="212">
        <v>0</v>
      </c>
      <c r="K166" s="212">
        <f t="shared" si="3"/>
        <v>18745.650000000001</v>
      </c>
      <c r="L166" s="37"/>
      <c r="M166" s="369">
        <v>55226.089487179481</v>
      </c>
      <c r="N166" s="273"/>
    </row>
    <row r="167" spans="1:14">
      <c r="A167" s="231">
        <v>2239</v>
      </c>
      <c r="B167" s="4">
        <v>103289</v>
      </c>
      <c r="C167" s="4" t="s">
        <v>421</v>
      </c>
      <c r="D167" s="4" t="s">
        <v>422</v>
      </c>
      <c r="E167" s="213" t="s">
        <v>5</v>
      </c>
      <c r="F167" s="248" t="s">
        <v>415</v>
      </c>
      <c r="G167" s="37"/>
      <c r="H167" s="273">
        <v>5139.75</v>
      </c>
      <c r="I167" s="271">
        <v>5139.75</v>
      </c>
      <c r="J167" s="212">
        <v>0</v>
      </c>
      <c r="K167" s="212">
        <f t="shared" si="3"/>
        <v>5139.75</v>
      </c>
      <c r="L167" s="37"/>
      <c r="M167" s="369">
        <v>0</v>
      </c>
      <c r="N167" s="273"/>
    </row>
    <row r="168" spans="1:14">
      <c r="A168" s="231">
        <v>2435</v>
      </c>
      <c r="B168" s="4">
        <v>103362</v>
      </c>
      <c r="C168" s="4" t="s">
        <v>424</v>
      </c>
      <c r="D168" s="4" t="s">
        <v>425</v>
      </c>
      <c r="E168" s="213" t="s">
        <v>5</v>
      </c>
      <c r="F168" s="248" t="s">
        <v>415</v>
      </c>
      <c r="G168" s="37"/>
      <c r="H168" s="273">
        <v>9471</v>
      </c>
      <c r="I168" s="271">
        <v>9471</v>
      </c>
      <c r="J168" s="212">
        <v>0</v>
      </c>
      <c r="K168" s="212">
        <f t="shared" si="3"/>
        <v>9471</v>
      </c>
      <c r="L168" s="37"/>
      <c r="M168" s="369">
        <v>0</v>
      </c>
      <c r="N168" s="273"/>
    </row>
    <row r="169" spans="1:14">
      <c r="A169" s="231">
        <v>1001</v>
      </c>
      <c r="B169" s="4">
        <v>103120</v>
      </c>
      <c r="C169" s="4" t="s">
        <v>427</v>
      </c>
      <c r="D169" s="4" t="s">
        <v>428</v>
      </c>
      <c r="E169" s="213" t="s">
        <v>180</v>
      </c>
      <c r="F169" s="248" t="s">
        <v>415</v>
      </c>
      <c r="G169" s="37"/>
      <c r="H169" s="273">
        <v>3291.75</v>
      </c>
      <c r="I169" s="271">
        <v>3291.75</v>
      </c>
      <c r="J169" s="212">
        <v>0</v>
      </c>
      <c r="K169" s="212">
        <f t="shared" si="3"/>
        <v>3291.75</v>
      </c>
      <c r="L169" s="37"/>
      <c r="M169" s="369">
        <v>0</v>
      </c>
      <c r="N169" s="273"/>
    </row>
    <row r="170" spans="1:14">
      <c r="A170" s="231">
        <v>7030</v>
      </c>
      <c r="B170" s="4">
        <v>103611</v>
      </c>
      <c r="C170" s="4" t="s">
        <v>430</v>
      </c>
      <c r="D170" s="4" t="s">
        <v>431</v>
      </c>
      <c r="E170" s="213" t="s">
        <v>1093</v>
      </c>
      <c r="F170" s="248" t="s">
        <v>415</v>
      </c>
      <c r="G170" s="37"/>
      <c r="H170" s="273">
        <v>3291.75</v>
      </c>
      <c r="I170" s="271">
        <v>3291.75</v>
      </c>
      <c r="J170" s="212">
        <v>0</v>
      </c>
      <c r="K170" s="212">
        <f t="shared" si="3"/>
        <v>3291.75</v>
      </c>
      <c r="L170" s="37"/>
      <c r="M170" s="369">
        <v>0</v>
      </c>
      <c r="N170" s="273"/>
    </row>
    <row r="171" spans="1:14">
      <c r="A171" s="231">
        <v>2465</v>
      </c>
      <c r="B171" s="4">
        <v>103391</v>
      </c>
      <c r="C171" s="4" t="s">
        <v>433</v>
      </c>
      <c r="D171" s="4" t="s">
        <v>434</v>
      </c>
      <c r="E171" s="213" t="s">
        <v>5</v>
      </c>
      <c r="F171" s="248" t="s">
        <v>415</v>
      </c>
      <c r="G171" s="37"/>
      <c r="H171" s="273">
        <v>9471</v>
      </c>
      <c r="I171" s="271">
        <v>9471</v>
      </c>
      <c r="J171" s="212">
        <v>0</v>
      </c>
      <c r="K171" s="212">
        <f t="shared" si="3"/>
        <v>9471</v>
      </c>
      <c r="L171" s="37"/>
      <c r="M171" s="369">
        <v>0</v>
      </c>
      <c r="N171" s="273"/>
    </row>
    <row r="172" spans="1:14">
      <c r="A172" s="231">
        <v>2040</v>
      </c>
      <c r="B172" s="4">
        <v>103178</v>
      </c>
      <c r="C172" s="4" t="s">
        <v>436</v>
      </c>
      <c r="D172" s="4" t="s">
        <v>437</v>
      </c>
      <c r="E172" s="213" t="s">
        <v>5</v>
      </c>
      <c r="F172" s="248" t="s">
        <v>415</v>
      </c>
      <c r="G172" s="37"/>
      <c r="H172" s="273">
        <v>9471</v>
      </c>
      <c r="I172" s="271">
        <v>9471</v>
      </c>
      <c r="J172" s="212">
        <v>0</v>
      </c>
      <c r="K172" s="212">
        <f t="shared" si="3"/>
        <v>9471</v>
      </c>
      <c r="L172" s="37"/>
      <c r="M172" s="369">
        <v>77244.871794871782</v>
      </c>
      <c r="N172" s="273"/>
    </row>
    <row r="173" spans="1:14">
      <c r="A173" s="231">
        <v>1100</v>
      </c>
      <c r="B173" s="4">
        <v>103146</v>
      </c>
      <c r="C173" s="4" t="s">
        <v>439</v>
      </c>
      <c r="D173" s="4" t="s">
        <v>440</v>
      </c>
      <c r="E173" s="213" t="s">
        <v>1094</v>
      </c>
      <c r="F173" s="248" t="s">
        <v>415</v>
      </c>
      <c r="G173" s="37"/>
      <c r="H173" s="273">
        <v>3291.75</v>
      </c>
      <c r="I173" s="271">
        <v>12566.4</v>
      </c>
      <c r="J173" s="212">
        <v>0</v>
      </c>
      <c r="K173" s="212">
        <f t="shared" si="3"/>
        <v>12566.4</v>
      </c>
      <c r="L173" s="37"/>
      <c r="M173" s="369">
        <v>0</v>
      </c>
      <c r="N173" s="273"/>
    </row>
    <row r="174" spans="1:14">
      <c r="A174" s="231">
        <v>3432</v>
      </c>
      <c r="B174" s="4">
        <v>134840</v>
      </c>
      <c r="C174" s="4" t="s">
        <v>442</v>
      </c>
      <c r="D174" s="4" t="s">
        <v>443</v>
      </c>
      <c r="E174" s="213" t="s">
        <v>5</v>
      </c>
      <c r="F174" s="248" t="s">
        <v>415</v>
      </c>
      <c r="G174" s="37"/>
      <c r="H174" s="273">
        <v>24312.75</v>
      </c>
      <c r="I174" s="271">
        <v>24312.75</v>
      </c>
      <c r="J174" s="212">
        <v>-3700.25</v>
      </c>
      <c r="K174" s="212">
        <f t="shared" si="3"/>
        <v>20612.5</v>
      </c>
      <c r="L174" s="37"/>
      <c r="M174" s="369">
        <v>0</v>
      </c>
      <c r="N174" s="273"/>
    </row>
    <row r="175" spans="1:14">
      <c r="A175" s="231">
        <v>2185</v>
      </c>
      <c r="B175" s="4">
        <v>103263</v>
      </c>
      <c r="C175" s="4" t="s">
        <v>445</v>
      </c>
      <c r="D175" s="4" t="s">
        <v>446</v>
      </c>
      <c r="E175" s="213" t="s">
        <v>5</v>
      </c>
      <c r="F175" s="248" t="s">
        <v>415</v>
      </c>
      <c r="G175" s="37"/>
      <c r="H175" s="273">
        <v>9471</v>
      </c>
      <c r="I175" s="271">
        <v>9471</v>
      </c>
      <c r="J175" s="212">
        <v>0</v>
      </c>
      <c r="K175" s="212">
        <f t="shared" si="3"/>
        <v>9471</v>
      </c>
      <c r="L175" s="37"/>
      <c r="M175" s="369">
        <v>0</v>
      </c>
      <c r="N175" s="273"/>
    </row>
    <row r="176" spans="1:14">
      <c r="A176" s="231">
        <v>2464</v>
      </c>
      <c r="B176" s="4">
        <v>103390</v>
      </c>
      <c r="C176" s="4" t="s">
        <v>448</v>
      </c>
      <c r="D176" s="4" t="s">
        <v>449</v>
      </c>
      <c r="E176" s="213" t="s">
        <v>5</v>
      </c>
      <c r="F176" s="248" t="s">
        <v>415</v>
      </c>
      <c r="G176" s="37"/>
      <c r="H176" s="273">
        <v>9471</v>
      </c>
      <c r="I176" s="271">
        <v>9471</v>
      </c>
      <c r="J176" s="212">
        <v>0</v>
      </c>
      <c r="K176" s="212">
        <f t="shared" si="3"/>
        <v>9471</v>
      </c>
      <c r="L176" s="37"/>
      <c r="M176" s="369">
        <v>0</v>
      </c>
      <c r="N176" s="273"/>
    </row>
    <row r="177" spans="1:14">
      <c r="A177" s="231">
        <v>2454</v>
      </c>
      <c r="B177" s="4">
        <v>103381</v>
      </c>
      <c r="C177" s="4" t="s">
        <v>454</v>
      </c>
      <c r="D177" s="4" t="s">
        <v>455</v>
      </c>
      <c r="E177" s="213" t="s">
        <v>5</v>
      </c>
      <c r="F177" s="248" t="s">
        <v>415</v>
      </c>
      <c r="G177" s="37"/>
      <c r="H177" s="273">
        <v>9471</v>
      </c>
      <c r="I177" s="271">
        <v>9471</v>
      </c>
      <c r="J177" s="212">
        <v>0</v>
      </c>
      <c r="K177" s="212">
        <f t="shared" si="3"/>
        <v>9471</v>
      </c>
      <c r="L177" s="37"/>
      <c r="M177" s="369">
        <v>0</v>
      </c>
      <c r="N177" s="273"/>
    </row>
    <row r="178" spans="1:14">
      <c r="A178" s="231">
        <v>3321</v>
      </c>
      <c r="B178" s="4">
        <v>103425</v>
      </c>
      <c r="C178" s="4" t="s">
        <v>457</v>
      </c>
      <c r="D178" s="4" t="s">
        <v>458</v>
      </c>
      <c r="E178" s="213" t="s">
        <v>5</v>
      </c>
      <c r="F178" s="248" t="s">
        <v>415</v>
      </c>
      <c r="G178" s="37"/>
      <c r="H178" s="273">
        <v>9471</v>
      </c>
      <c r="I178" s="271">
        <v>9471</v>
      </c>
      <c r="J178" s="212">
        <v>0</v>
      </c>
      <c r="K178" s="212">
        <f t="shared" si="3"/>
        <v>9471</v>
      </c>
      <c r="L178" s="37"/>
      <c r="M178" s="369">
        <v>0</v>
      </c>
      <c r="N178" s="273"/>
    </row>
    <row r="179" spans="1:14">
      <c r="A179" s="231">
        <v>3435</v>
      </c>
      <c r="B179" s="4">
        <v>131920</v>
      </c>
      <c r="C179" s="4" t="s">
        <v>460</v>
      </c>
      <c r="D179" s="4" t="s">
        <v>461</v>
      </c>
      <c r="E179" s="213" t="s">
        <v>5</v>
      </c>
      <c r="F179" s="248" t="s">
        <v>415</v>
      </c>
      <c r="G179" s="37"/>
      <c r="H179" s="273">
        <v>9471</v>
      </c>
      <c r="I179" s="271">
        <v>9471</v>
      </c>
      <c r="J179" s="212">
        <v>0</v>
      </c>
      <c r="K179" s="212">
        <f t="shared" si="3"/>
        <v>9471</v>
      </c>
      <c r="L179" s="37"/>
      <c r="M179" s="369">
        <v>0</v>
      </c>
      <c r="N179" s="273"/>
    </row>
    <row r="180" spans="1:14">
      <c r="A180" s="231">
        <v>7050</v>
      </c>
      <c r="B180" s="4">
        <v>103625</v>
      </c>
      <c r="C180" s="4" t="s">
        <v>463</v>
      </c>
      <c r="D180" s="4" t="s">
        <v>464</v>
      </c>
      <c r="E180" s="213" t="s">
        <v>1093</v>
      </c>
      <c r="F180" s="248" t="s">
        <v>415</v>
      </c>
      <c r="G180" s="37"/>
      <c r="H180" s="273">
        <v>3291.75</v>
      </c>
      <c r="I180" s="271">
        <v>3291.75</v>
      </c>
      <c r="J180" s="212">
        <v>0</v>
      </c>
      <c r="K180" s="212">
        <f t="shared" si="3"/>
        <v>3291.75</v>
      </c>
      <c r="L180" s="37"/>
      <c r="M180" s="369">
        <v>0</v>
      </c>
      <c r="N180" s="273"/>
    </row>
    <row r="181" spans="1:14">
      <c r="A181" s="231">
        <v>2081</v>
      </c>
      <c r="B181" s="4">
        <v>103201</v>
      </c>
      <c r="C181" s="4" t="s">
        <v>466</v>
      </c>
      <c r="D181" s="4" t="s">
        <v>467</v>
      </c>
      <c r="E181" s="213" t="s">
        <v>5</v>
      </c>
      <c r="F181" s="248" t="s">
        <v>415</v>
      </c>
      <c r="G181" s="37"/>
      <c r="H181" s="273">
        <v>9471</v>
      </c>
      <c r="I181" s="271">
        <v>9471</v>
      </c>
      <c r="J181" s="212">
        <v>0</v>
      </c>
      <c r="K181" s="212">
        <f t="shared" si="3"/>
        <v>9471</v>
      </c>
      <c r="L181" s="37"/>
      <c r="M181" s="369">
        <v>0</v>
      </c>
      <c r="N181" s="273"/>
    </row>
    <row r="182" spans="1:14">
      <c r="A182" s="231">
        <v>2093</v>
      </c>
      <c r="B182" s="4">
        <v>103210</v>
      </c>
      <c r="C182" s="4" t="s">
        <v>469</v>
      </c>
      <c r="D182" s="4" t="s">
        <v>470</v>
      </c>
      <c r="E182" s="213" t="s">
        <v>5</v>
      </c>
      <c r="F182" s="248" t="s">
        <v>415</v>
      </c>
      <c r="G182" s="37"/>
      <c r="H182" s="273">
        <v>0</v>
      </c>
      <c r="I182" s="271">
        <v>0</v>
      </c>
      <c r="J182" s="212">
        <v>0</v>
      </c>
      <c r="K182" s="212">
        <f t="shared" si="3"/>
        <v>0</v>
      </c>
      <c r="L182" s="37"/>
      <c r="M182" s="369">
        <v>0</v>
      </c>
      <c r="N182" s="273"/>
    </row>
    <row r="183" spans="1:14">
      <c r="A183" s="231">
        <v>2099</v>
      </c>
      <c r="B183" s="4">
        <v>103214</v>
      </c>
      <c r="C183" s="4" t="s">
        <v>472</v>
      </c>
      <c r="D183" s="4" t="s">
        <v>473</v>
      </c>
      <c r="E183" s="213" t="s">
        <v>5</v>
      </c>
      <c r="F183" s="248" t="s">
        <v>415</v>
      </c>
      <c r="G183" s="37"/>
      <c r="H183" s="273">
        <v>5139.75</v>
      </c>
      <c r="I183" s="271">
        <v>5139.75</v>
      </c>
      <c r="J183" s="212">
        <v>0</v>
      </c>
      <c r="K183" s="212">
        <f t="shared" si="3"/>
        <v>5139.75</v>
      </c>
      <c r="L183" s="37"/>
      <c r="M183" s="369">
        <v>65066.264010256404</v>
      </c>
      <c r="N183" s="273"/>
    </row>
    <row r="184" spans="1:14">
      <c r="A184" s="231">
        <v>2189</v>
      </c>
      <c r="B184" s="4">
        <v>103265</v>
      </c>
      <c r="C184" s="4" t="s">
        <v>475</v>
      </c>
      <c r="D184" s="4" t="s">
        <v>476</v>
      </c>
      <c r="E184" s="213" t="s">
        <v>5</v>
      </c>
      <c r="F184" s="248" t="s">
        <v>415</v>
      </c>
      <c r="G184" s="37"/>
      <c r="H184" s="273">
        <v>5139.75</v>
      </c>
      <c r="I184" s="271">
        <v>5139.75</v>
      </c>
      <c r="J184" s="212">
        <v>0</v>
      </c>
      <c r="K184" s="212">
        <f t="shared" si="3"/>
        <v>5139.75</v>
      </c>
      <c r="L184" s="37"/>
      <c r="M184" s="369">
        <v>0</v>
      </c>
      <c r="N184" s="273"/>
    </row>
    <row r="185" spans="1:14">
      <c r="A185" s="231">
        <v>7060</v>
      </c>
      <c r="B185" s="4">
        <v>103630</v>
      </c>
      <c r="C185" s="4" t="s">
        <v>478</v>
      </c>
      <c r="D185" s="4" t="s">
        <v>479</v>
      </c>
      <c r="E185" s="213" t="s">
        <v>1093</v>
      </c>
      <c r="F185" s="248" t="s">
        <v>415</v>
      </c>
      <c r="G185" s="37"/>
      <c r="H185" s="273">
        <v>3291.75</v>
      </c>
      <c r="I185" s="271">
        <v>3291.75</v>
      </c>
      <c r="J185" s="212">
        <v>0</v>
      </c>
      <c r="K185" s="212">
        <f t="shared" si="3"/>
        <v>3291.75</v>
      </c>
      <c r="L185" s="37"/>
      <c r="M185" s="369">
        <v>0</v>
      </c>
      <c r="N185" s="273"/>
    </row>
    <row r="186" spans="1:14">
      <c r="A186" s="231">
        <v>7012</v>
      </c>
      <c r="B186" s="4">
        <v>103603</v>
      </c>
      <c r="C186" s="4" t="s">
        <v>481</v>
      </c>
      <c r="D186" s="4" t="s">
        <v>482</v>
      </c>
      <c r="E186" s="213" t="s">
        <v>1093</v>
      </c>
      <c r="F186" s="248" t="s">
        <v>415</v>
      </c>
      <c r="G186" s="37"/>
      <c r="H186" s="273">
        <v>3291.75</v>
      </c>
      <c r="I186" s="271">
        <v>3291.75</v>
      </c>
      <c r="J186" s="212">
        <v>0</v>
      </c>
      <c r="K186" s="212">
        <f t="shared" si="3"/>
        <v>3291.75</v>
      </c>
      <c r="L186" s="37"/>
      <c r="M186" s="369">
        <v>0</v>
      </c>
      <c r="N186" s="273"/>
    </row>
    <row r="187" spans="1:14">
      <c r="A187" s="231">
        <v>2420</v>
      </c>
      <c r="B187" s="4">
        <v>103353</v>
      </c>
      <c r="C187" s="4" t="s">
        <v>484</v>
      </c>
      <c r="D187" s="4" t="s">
        <v>485</v>
      </c>
      <c r="E187" s="213" t="s">
        <v>5</v>
      </c>
      <c r="F187" s="248" t="s">
        <v>415</v>
      </c>
      <c r="G187" s="37"/>
      <c r="H187" s="273">
        <v>9471</v>
      </c>
      <c r="I187" s="271">
        <v>9471</v>
      </c>
      <c r="J187" s="212">
        <v>0</v>
      </c>
      <c r="K187" s="212">
        <f t="shared" si="3"/>
        <v>9471</v>
      </c>
      <c r="L187" s="37"/>
      <c r="M187" s="369">
        <v>0</v>
      </c>
      <c r="N187" s="273"/>
    </row>
    <row r="188" spans="1:14">
      <c r="A188" s="231">
        <v>2406</v>
      </c>
      <c r="B188" s="4">
        <v>103345</v>
      </c>
      <c r="C188" s="4" t="s">
        <v>487</v>
      </c>
      <c r="D188" s="4" t="s">
        <v>488</v>
      </c>
      <c r="E188" s="213" t="s">
        <v>5</v>
      </c>
      <c r="F188" s="248" t="s">
        <v>415</v>
      </c>
      <c r="G188" s="37"/>
      <c r="H188" s="273">
        <v>5139.75</v>
      </c>
      <c r="I188" s="271">
        <v>5139.75</v>
      </c>
      <c r="J188" s="212">
        <v>0</v>
      </c>
      <c r="K188" s="212">
        <f t="shared" si="3"/>
        <v>5139.75</v>
      </c>
      <c r="L188" s="37"/>
      <c r="M188" s="369">
        <v>0</v>
      </c>
      <c r="N188" s="273"/>
    </row>
    <row r="189" spans="1:14">
      <c r="A189" s="231">
        <v>3351</v>
      </c>
      <c r="B189" s="4">
        <v>103443</v>
      </c>
      <c r="C189" s="4" t="s">
        <v>490</v>
      </c>
      <c r="D189" s="4" t="s">
        <v>491</v>
      </c>
      <c r="E189" s="213" t="s">
        <v>5</v>
      </c>
      <c r="F189" s="248" t="s">
        <v>415</v>
      </c>
      <c r="G189" s="37"/>
      <c r="H189" s="273">
        <v>5139.75</v>
      </c>
      <c r="I189" s="271">
        <v>5139.75</v>
      </c>
      <c r="J189" s="212">
        <v>0</v>
      </c>
      <c r="K189" s="212">
        <f t="shared" si="3"/>
        <v>5139.75</v>
      </c>
      <c r="L189" s="37"/>
      <c r="M189" s="369">
        <v>0</v>
      </c>
      <c r="N189" s="273"/>
    </row>
    <row r="190" spans="1:14">
      <c r="A190" s="231">
        <v>3328</v>
      </c>
      <c r="B190" s="4">
        <v>103430</v>
      </c>
      <c r="C190" s="4" t="s">
        <v>493</v>
      </c>
      <c r="D190" s="4" t="s">
        <v>494</v>
      </c>
      <c r="E190" s="213" t="s">
        <v>5</v>
      </c>
      <c r="F190" s="248" t="s">
        <v>415</v>
      </c>
      <c r="G190" s="37"/>
      <c r="H190" s="273">
        <v>5139.75</v>
      </c>
      <c r="I190" s="271">
        <v>5139.75</v>
      </c>
      <c r="J190" s="212">
        <v>0</v>
      </c>
      <c r="K190" s="212">
        <f t="shared" si="3"/>
        <v>5139.75</v>
      </c>
      <c r="L190" s="37"/>
      <c r="M190" s="369">
        <v>0</v>
      </c>
      <c r="N190" s="273"/>
    </row>
    <row r="191" spans="1:14">
      <c r="A191" s="231">
        <v>2160</v>
      </c>
      <c r="B191" s="4">
        <v>103248</v>
      </c>
      <c r="C191" s="4" t="s">
        <v>496</v>
      </c>
      <c r="D191" s="4" t="s">
        <v>497</v>
      </c>
      <c r="E191" s="213" t="s">
        <v>5</v>
      </c>
      <c r="F191" s="248" t="s">
        <v>415</v>
      </c>
      <c r="G191" s="37"/>
      <c r="H191" s="273">
        <v>9471</v>
      </c>
      <c r="I191" s="271">
        <v>9471</v>
      </c>
      <c r="J191" s="212">
        <v>0</v>
      </c>
      <c r="K191" s="212">
        <f t="shared" si="3"/>
        <v>9471</v>
      </c>
      <c r="L191" s="37"/>
      <c r="M191" s="369">
        <v>0</v>
      </c>
      <c r="N191" s="273"/>
    </row>
    <row r="192" spans="1:14">
      <c r="A192" s="231">
        <v>2063</v>
      </c>
      <c r="B192" s="4">
        <v>103193</v>
      </c>
      <c r="C192" s="4" t="s">
        <v>499</v>
      </c>
      <c r="D192" s="4" t="s">
        <v>500</v>
      </c>
      <c r="E192" s="213" t="s">
        <v>5</v>
      </c>
      <c r="F192" s="248" t="s">
        <v>415</v>
      </c>
      <c r="G192" s="37"/>
      <c r="H192" s="273">
        <v>9471</v>
      </c>
      <c r="I192" s="271">
        <v>9471</v>
      </c>
      <c r="J192" s="212">
        <v>0</v>
      </c>
      <c r="K192" s="212">
        <f t="shared" si="3"/>
        <v>9471</v>
      </c>
      <c r="L192" s="37"/>
      <c r="M192" s="369">
        <v>0</v>
      </c>
      <c r="N192" s="273"/>
    </row>
    <row r="193" spans="1:14">
      <c r="A193" s="231">
        <v>2008</v>
      </c>
      <c r="B193" s="4">
        <v>103157</v>
      </c>
      <c r="C193" s="4" t="s">
        <v>502</v>
      </c>
      <c r="D193" s="4" t="s">
        <v>503</v>
      </c>
      <c r="E193" s="213" t="s">
        <v>5</v>
      </c>
      <c r="F193" s="248" t="s">
        <v>415</v>
      </c>
      <c r="G193" s="37"/>
      <c r="H193" s="273">
        <v>9471</v>
      </c>
      <c r="I193" s="271">
        <v>9471</v>
      </c>
      <c r="J193" s="212">
        <v>0</v>
      </c>
      <c r="K193" s="212">
        <f t="shared" si="3"/>
        <v>9471</v>
      </c>
      <c r="L193" s="37"/>
      <c r="M193" s="369">
        <v>0</v>
      </c>
      <c r="N193" s="273"/>
    </row>
    <row r="194" spans="1:14">
      <c r="A194" s="231">
        <v>2176</v>
      </c>
      <c r="B194" s="4">
        <v>103256</v>
      </c>
      <c r="C194" s="4" t="s">
        <v>505</v>
      </c>
      <c r="D194" s="4" t="s">
        <v>506</v>
      </c>
      <c r="E194" s="213" t="s">
        <v>5</v>
      </c>
      <c r="F194" s="248" t="s">
        <v>415</v>
      </c>
      <c r="G194" s="37"/>
      <c r="H194" s="273">
        <v>18745.650000000001</v>
      </c>
      <c r="I194" s="271">
        <v>18745.650000000001</v>
      </c>
      <c r="J194" s="212">
        <v>0</v>
      </c>
      <c r="K194" s="212">
        <f t="shared" si="3"/>
        <v>18745.650000000001</v>
      </c>
      <c r="L194" s="37"/>
      <c r="M194" s="369">
        <v>0</v>
      </c>
      <c r="N194" s="273"/>
    </row>
    <row r="195" spans="1:14">
      <c r="A195" s="231">
        <v>3410</v>
      </c>
      <c r="B195" s="4">
        <v>103478</v>
      </c>
      <c r="C195" s="4" t="s">
        <v>508</v>
      </c>
      <c r="D195" s="4" t="s">
        <v>509</v>
      </c>
      <c r="E195" s="213" t="s">
        <v>5</v>
      </c>
      <c r="F195" s="248" t="s">
        <v>415</v>
      </c>
      <c r="G195" s="37"/>
      <c r="H195" s="273">
        <v>5139.75</v>
      </c>
      <c r="I195" s="271">
        <v>5139.75</v>
      </c>
      <c r="J195" s="212">
        <v>0</v>
      </c>
      <c r="K195" s="212">
        <f t="shared" si="3"/>
        <v>5139.75</v>
      </c>
      <c r="L195" s="37"/>
      <c r="M195" s="369">
        <v>0</v>
      </c>
      <c r="N195" s="273"/>
    </row>
    <row r="196" spans="1:14">
      <c r="A196" s="231">
        <v>3380</v>
      </c>
      <c r="B196" s="4">
        <v>103465</v>
      </c>
      <c r="C196" s="4" t="s">
        <v>511</v>
      </c>
      <c r="D196" s="4" t="s">
        <v>512</v>
      </c>
      <c r="E196" s="213" t="s">
        <v>5</v>
      </c>
      <c r="F196" s="248" t="s">
        <v>415</v>
      </c>
      <c r="G196" s="37"/>
      <c r="H196" s="273">
        <v>0</v>
      </c>
      <c r="I196" s="271">
        <v>0</v>
      </c>
      <c r="J196" s="212">
        <v>0</v>
      </c>
      <c r="K196" s="212">
        <f t="shared" si="3"/>
        <v>0</v>
      </c>
      <c r="L196" s="37"/>
      <c r="M196" s="369">
        <v>0</v>
      </c>
      <c r="N196" s="273"/>
    </row>
    <row r="197" spans="1:14">
      <c r="A197" s="231">
        <v>3335</v>
      </c>
      <c r="B197" s="4">
        <v>103434</v>
      </c>
      <c r="C197" s="4" t="s">
        <v>514</v>
      </c>
      <c r="D197" s="4" t="s">
        <v>515</v>
      </c>
      <c r="E197" s="213" t="s">
        <v>5</v>
      </c>
      <c r="F197" s="248" t="s">
        <v>415</v>
      </c>
      <c r="G197" s="37"/>
      <c r="H197" s="273">
        <v>5139.75</v>
      </c>
      <c r="I197" s="271">
        <v>5139.75</v>
      </c>
      <c r="J197" s="212">
        <v>0</v>
      </c>
      <c r="K197" s="212">
        <f t="shared" si="3"/>
        <v>5139.75</v>
      </c>
      <c r="L197" s="37"/>
      <c r="M197" s="369">
        <v>0</v>
      </c>
      <c r="N197" s="273"/>
    </row>
    <row r="198" spans="1:14">
      <c r="A198" s="231">
        <v>3372</v>
      </c>
      <c r="B198" s="4">
        <v>103460</v>
      </c>
      <c r="C198" s="4" t="s">
        <v>517</v>
      </c>
      <c r="D198" s="4" t="s">
        <v>518</v>
      </c>
      <c r="E198" s="213" t="s">
        <v>5</v>
      </c>
      <c r="F198" s="248" t="s">
        <v>415</v>
      </c>
      <c r="G198" s="37"/>
      <c r="H198" s="273">
        <v>0</v>
      </c>
      <c r="I198" s="271">
        <v>0</v>
      </c>
      <c r="J198" s="212">
        <v>0</v>
      </c>
      <c r="K198" s="212">
        <f t="shared" si="3"/>
        <v>0</v>
      </c>
      <c r="L198" s="37"/>
      <c r="M198" s="369">
        <v>0</v>
      </c>
      <c r="N198" s="273"/>
    </row>
    <row r="199" spans="1:14">
      <c r="A199" s="231">
        <v>3355</v>
      </c>
      <c r="B199" s="4">
        <v>103447</v>
      </c>
      <c r="C199" s="4" t="s">
        <v>520</v>
      </c>
      <c r="D199" s="4" t="s">
        <v>521</v>
      </c>
      <c r="E199" s="213" t="s">
        <v>5</v>
      </c>
      <c r="F199" s="248" t="s">
        <v>415</v>
      </c>
      <c r="G199" s="37"/>
      <c r="H199" s="273">
        <v>9471</v>
      </c>
      <c r="I199" s="271">
        <v>9471</v>
      </c>
      <c r="J199" s="212">
        <v>0</v>
      </c>
      <c r="K199" s="212">
        <f t="shared" si="3"/>
        <v>9471</v>
      </c>
      <c r="L199" s="37"/>
      <c r="M199" s="369">
        <v>0</v>
      </c>
      <c r="N199" s="273"/>
    </row>
    <row r="200" spans="1:14">
      <c r="A200" s="231">
        <v>3367</v>
      </c>
      <c r="B200" s="4">
        <v>103458</v>
      </c>
      <c r="C200" s="4" t="s">
        <v>523</v>
      </c>
      <c r="D200" s="4" t="s">
        <v>524</v>
      </c>
      <c r="E200" s="213" t="s">
        <v>5</v>
      </c>
      <c r="F200" s="248" t="s">
        <v>415</v>
      </c>
      <c r="G200" s="37"/>
      <c r="H200" s="273">
        <v>5139.75</v>
      </c>
      <c r="I200" s="271">
        <v>5139.75</v>
      </c>
      <c r="J200" s="212">
        <v>0</v>
      </c>
      <c r="K200" s="212">
        <f t="shared" si="3"/>
        <v>5139.75</v>
      </c>
      <c r="L200" s="37"/>
      <c r="M200" s="369">
        <v>0</v>
      </c>
      <c r="N200" s="273"/>
    </row>
    <row r="201" spans="1:14">
      <c r="A201" s="231">
        <v>3361</v>
      </c>
      <c r="B201" s="4">
        <v>103453</v>
      </c>
      <c r="C201" s="4" t="s">
        <v>526</v>
      </c>
      <c r="D201" s="4" t="s">
        <v>527</v>
      </c>
      <c r="E201" s="213" t="s">
        <v>5</v>
      </c>
      <c r="F201" s="248" t="s">
        <v>415</v>
      </c>
      <c r="G201" s="37"/>
      <c r="H201" s="273">
        <v>9471</v>
      </c>
      <c r="I201" s="271">
        <v>9471</v>
      </c>
      <c r="J201" s="212">
        <v>0</v>
      </c>
      <c r="K201" s="212">
        <f t="shared" si="3"/>
        <v>9471</v>
      </c>
      <c r="L201" s="37"/>
      <c r="M201" s="369">
        <v>0</v>
      </c>
      <c r="N201" s="273"/>
    </row>
    <row r="202" spans="1:14">
      <c r="A202" s="231">
        <v>3344</v>
      </c>
      <c r="B202" s="4">
        <v>103438</v>
      </c>
      <c r="C202" s="4" t="s">
        <v>529</v>
      </c>
      <c r="D202" s="4" t="s">
        <v>530</v>
      </c>
      <c r="E202" s="213" t="s">
        <v>5</v>
      </c>
      <c r="F202" s="248" t="s">
        <v>415</v>
      </c>
      <c r="G202" s="37"/>
      <c r="H202" s="273">
        <v>9471</v>
      </c>
      <c r="I202" s="271">
        <v>9471</v>
      </c>
      <c r="J202" s="212">
        <v>0</v>
      </c>
      <c r="K202" s="212">
        <f t="shared" ref="K202:K218" si="4">I202+J202</f>
        <v>9471</v>
      </c>
      <c r="L202" s="37"/>
      <c r="M202" s="369">
        <v>0</v>
      </c>
      <c r="N202" s="273"/>
    </row>
    <row r="203" spans="1:14">
      <c r="A203" s="231">
        <v>3385</v>
      </c>
      <c r="B203" s="4">
        <v>103469</v>
      </c>
      <c r="C203" s="4" t="s">
        <v>532</v>
      </c>
      <c r="D203" s="4" t="s">
        <v>533</v>
      </c>
      <c r="E203" s="213" t="s">
        <v>5</v>
      </c>
      <c r="F203" s="248" t="s">
        <v>415</v>
      </c>
      <c r="G203" s="37"/>
      <c r="H203" s="273">
        <v>0</v>
      </c>
      <c r="I203" s="271">
        <v>0</v>
      </c>
      <c r="J203" s="212">
        <v>0</v>
      </c>
      <c r="K203" s="212">
        <f t="shared" si="4"/>
        <v>0</v>
      </c>
      <c r="L203" s="37"/>
      <c r="M203" s="369">
        <v>0</v>
      </c>
      <c r="N203" s="273"/>
    </row>
    <row r="204" spans="1:14">
      <c r="A204" s="231">
        <v>3019</v>
      </c>
      <c r="B204" s="4">
        <v>103406</v>
      </c>
      <c r="C204" s="4" t="s">
        <v>535</v>
      </c>
      <c r="D204" s="4" t="s">
        <v>536</v>
      </c>
      <c r="E204" s="213" t="s">
        <v>5</v>
      </c>
      <c r="F204" s="248" t="s">
        <v>415</v>
      </c>
      <c r="G204" s="37"/>
      <c r="H204" s="273">
        <v>9471</v>
      </c>
      <c r="I204" s="271">
        <v>9471</v>
      </c>
      <c r="J204" s="212">
        <v>0</v>
      </c>
      <c r="K204" s="212">
        <f t="shared" si="4"/>
        <v>9471</v>
      </c>
      <c r="L204" s="37"/>
      <c r="M204" s="369">
        <v>0</v>
      </c>
      <c r="N204" s="273"/>
    </row>
    <row r="205" spans="1:14">
      <c r="A205" s="231">
        <v>2178</v>
      </c>
      <c r="B205" s="4">
        <v>103257</v>
      </c>
      <c r="C205" s="4" t="s">
        <v>538</v>
      </c>
      <c r="D205" s="4" t="s">
        <v>539</v>
      </c>
      <c r="E205" s="213" t="s">
        <v>5</v>
      </c>
      <c r="F205" s="248" t="s">
        <v>415</v>
      </c>
      <c r="G205" s="37"/>
      <c r="H205" s="273">
        <v>5139.75</v>
      </c>
      <c r="I205" s="271">
        <v>5139.75</v>
      </c>
      <c r="J205" s="212">
        <v>0</v>
      </c>
      <c r="K205" s="212">
        <f t="shared" si="4"/>
        <v>5139.75</v>
      </c>
      <c r="L205" s="37"/>
      <c r="M205" s="369">
        <v>0</v>
      </c>
      <c r="N205" s="273"/>
    </row>
    <row r="206" spans="1:14">
      <c r="A206" s="231">
        <v>2097</v>
      </c>
      <c r="B206" s="4">
        <v>103213</v>
      </c>
      <c r="C206" s="4" t="s">
        <v>541</v>
      </c>
      <c r="D206" s="4" t="s">
        <v>542</v>
      </c>
      <c r="E206" s="213" t="s">
        <v>5</v>
      </c>
      <c r="F206" s="248" t="s">
        <v>415</v>
      </c>
      <c r="G206" s="37"/>
      <c r="H206" s="273">
        <v>5139.75</v>
      </c>
      <c r="I206" s="271">
        <v>5139.75</v>
      </c>
      <c r="J206" s="212">
        <v>0</v>
      </c>
      <c r="K206" s="212">
        <f t="shared" si="4"/>
        <v>5139.75</v>
      </c>
      <c r="L206" s="37"/>
      <c r="M206" s="369">
        <v>0</v>
      </c>
      <c r="N206" s="273"/>
    </row>
    <row r="207" spans="1:14">
      <c r="A207" s="231">
        <v>2190</v>
      </c>
      <c r="B207" s="4">
        <v>103266</v>
      </c>
      <c r="C207" s="4" t="s">
        <v>544</v>
      </c>
      <c r="D207" s="4" t="s">
        <v>545</v>
      </c>
      <c r="E207" s="213" t="s">
        <v>5</v>
      </c>
      <c r="F207" s="248" t="s">
        <v>415</v>
      </c>
      <c r="G207" s="37"/>
      <c r="H207" s="273">
        <v>5139.75</v>
      </c>
      <c r="I207" s="271">
        <v>5139.75</v>
      </c>
      <c r="J207" s="212">
        <v>0</v>
      </c>
      <c r="K207" s="212">
        <f t="shared" si="4"/>
        <v>5139.75</v>
      </c>
      <c r="L207" s="37"/>
      <c r="M207" s="369">
        <v>0</v>
      </c>
      <c r="N207" s="273"/>
    </row>
    <row r="208" spans="1:14">
      <c r="A208" s="231">
        <v>7035</v>
      </c>
      <c r="B208" s="4">
        <v>103615</v>
      </c>
      <c r="C208" s="4" t="s">
        <v>547</v>
      </c>
      <c r="D208" s="4" t="s">
        <v>548</v>
      </c>
      <c r="E208" s="213" t="s">
        <v>1093</v>
      </c>
      <c r="F208" s="248" t="s">
        <v>415</v>
      </c>
      <c r="G208" s="37"/>
      <c r="H208" s="273">
        <v>3291.75</v>
      </c>
      <c r="I208" s="271">
        <v>5139.75</v>
      </c>
      <c r="J208" s="212">
        <v>0</v>
      </c>
      <c r="K208" s="212">
        <f t="shared" si="4"/>
        <v>5139.75</v>
      </c>
      <c r="L208" s="37"/>
      <c r="M208" s="369">
        <v>0</v>
      </c>
      <c r="N208" s="273"/>
    </row>
    <row r="209" spans="1:14">
      <c r="A209" s="231">
        <v>7045</v>
      </c>
      <c r="B209" s="4">
        <v>103622</v>
      </c>
      <c r="C209" s="4" t="s">
        <v>550</v>
      </c>
      <c r="D209" s="4" t="s">
        <v>864</v>
      </c>
      <c r="E209" s="213" t="s">
        <v>1093</v>
      </c>
      <c r="F209" s="248" t="s">
        <v>415</v>
      </c>
      <c r="G209" s="37"/>
      <c r="H209" s="273">
        <v>3291.75</v>
      </c>
      <c r="I209" s="271">
        <v>5139.75</v>
      </c>
      <c r="J209" s="212">
        <v>0</v>
      </c>
      <c r="K209" s="212">
        <f t="shared" si="4"/>
        <v>5139.75</v>
      </c>
      <c r="L209" s="37"/>
      <c r="M209" s="369">
        <v>0</v>
      </c>
      <c r="N209" s="273"/>
    </row>
    <row r="210" spans="1:14">
      <c r="A210" s="231">
        <v>1019</v>
      </c>
      <c r="B210" s="4">
        <v>103132</v>
      </c>
      <c r="C210" s="4" t="s">
        <v>553</v>
      </c>
      <c r="D210" s="4" t="s">
        <v>554</v>
      </c>
      <c r="E210" s="213" t="s">
        <v>180</v>
      </c>
      <c r="F210" s="248" t="s">
        <v>415</v>
      </c>
      <c r="G210" s="37"/>
      <c r="H210" s="273">
        <v>3291.75</v>
      </c>
      <c r="I210" s="271">
        <v>3291.75</v>
      </c>
      <c r="J210" s="212">
        <v>0</v>
      </c>
      <c r="K210" s="212">
        <f t="shared" si="4"/>
        <v>3291.75</v>
      </c>
      <c r="L210" s="37"/>
      <c r="M210" s="369">
        <v>0</v>
      </c>
      <c r="N210" s="273"/>
    </row>
    <row r="211" spans="1:14">
      <c r="A211" s="231">
        <v>2306</v>
      </c>
      <c r="B211" s="4">
        <v>103326</v>
      </c>
      <c r="C211" s="4" t="s">
        <v>556</v>
      </c>
      <c r="D211" s="4" t="s">
        <v>557</v>
      </c>
      <c r="E211" s="213" t="s">
        <v>5</v>
      </c>
      <c r="F211" s="248" t="s">
        <v>415</v>
      </c>
      <c r="G211" s="37"/>
      <c r="H211" s="273">
        <v>5139.75</v>
      </c>
      <c r="I211" s="271">
        <v>5139.75</v>
      </c>
      <c r="J211" s="212">
        <v>0</v>
      </c>
      <c r="K211" s="212">
        <f t="shared" si="4"/>
        <v>5139.75</v>
      </c>
      <c r="L211" s="37"/>
      <c r="M211" s="369">
        <v>0</v>
      </c>
      <c r="N211" s="273"/>
    </row>
    <row r="212" spans="1:14">
      <c r="A212" s="231">
        <v>2482</v>
      </c>
      <c r="B212" s="4">
        <v>132201</v>
      </c>
      <c r="C212" s="4" t="s">
        <v>559</v>
      </c>
      <c r="D212" s="4" t="s">
        <v>560</v>
      </c>
      <c r="E212" s="213" t="s">
        <v>5</v>
      </c>
      <c r="F212" s="248" t="s">
        <v>415</v>
      </c>
      <c r="G212" s="37"/>
      <c r="H212" s="273">
        <v>9471</v>
      </c>
      <c r="I212" s="271">
        <v>9471</v>
      </c>
      <c r="J212" s="212">
        <v>0</v>
      </c>
      <c r="K212" s="212">
        <f t="shared" si="4"/>
        <v>9471</v>
      </c>
      <c r="L212" s="37"/>
      <c r="M212" s="369">
        <v>0</v>
      </c>
      <c r="N212" s="273"/>
    </row>
    <row r="213" spans="1:14">
      <c r="A213" s="231">
        <v>2245</v>
      </c>
      <c r="B213" s="4">
        <v>103295</v>
      </c>
      <c r="C213" s="4" t="s">
        <v>562</v>
      </c>
      <c r="D213" s="4" t="s">
        <v>563</v>
      </c>
      <c r="E213" s="213" t="s">
        <v>5</v>
      </c>
      <c r="F213" s="248" t="s">
        <v>415</v>
      </c>
      <c r="G213" s="37"/>
      <c r="H213" s="273">
        <v>5139.75</v>
      </c>
      <c r="I213" s="271">
        <v>5139.75</v>
      </c>
      <c r="J213" s="212">
        <v>0</v>
      </c>
      <c r="K213" s="212">
        <f t="shared" si="4"/>
        <v>5139.75</v>
      </c>
      <c r="L213" s="37"/>
      <c r="M213" s="369">
        <v>62104.166666666664</v>
      </c>
      <c r="N213" s="273"/>
    </row>
    <row r="214" spans="1:14">
      <c r="A214" s="231">
        <v>2445</v>
      </c>
      <c r="B214" s="4">
        <v>103372</v>
      </c>
      <c r="C214" s="4" t="s">
        <v>568</v>
      </c>
      <c r="D214" s="4" t="s">
        <v>569</v>
      </c>
      <c r="E214" s="213" t="s">
        <v>5</v>
      </c>
      <c r="F214" s="248" t="s">
        <v>415</v>
      </c>
      <c r="G214" s="37"/>
      <c r="H214" s="273">
        <v>5139.75</v>
      </c>
      <c r="I214" s="271">
        <v>5139.75</v>
      </c>
      <c r="J214" s="212">
        <v>0</v>
      </c>
      <c r="K214" s="212">
        <f t="shared" si="4"/>
        <v>5139.75</v>
      </c>
      <c r="L214" s="37"/>
      <c r="M214" s="369">
        <v>0</v>
      </c>
      <c r="N214" s="273"/>
    </row>
    <row r="215" spans="1:14">
      <c r="A215" s="231">
        <v>2278</v>
      </c>
      <c r="B215" s="4">
        <v>103310</v>
      </c>
      <c r="C215" s="4" t="s">
        <v>571</v>
      </c>
      <c r="D215" s="4" t="s">
        <v>572</v>
      </c>
      <c r="E215" s="213" t="s">
        <v>5</v>
      </c>
      <c r="F215" s="248" t="s">
        <v>415</v>
      </c>
      <c r="G215" s="37"/>
      <c r="H215" s="273">
        <v>9471</v>
      </c>
      <c r="I215" s="271">
        <v>9471</v>
      </c>
      <c r="J215" s="212">
        <v>0</v>
      </c>
      <c r="K215" s="212">
        <f t="shared" si="4"/>
        <v>9471</v>
      </c>
      <c r="L215" s="37"/>
      <c r="M215" s="369">
        <v>0</v>
      </c>
      <c r="N215" s="273"/>
    </row>
    <row r="216" spans="1:14">
      <c r="A216" s="231">
        <v>2317</v>
      </c>
      <c r="B216" s="4">
        <v>103337</v>
      </c>
      <c r="C216" s="4" t="s">
        <v>574</v>
      </c>
      <c r="D216" s="4" t="s">
        <v>575</v>
      </c>
      <c r="E216" s="213" t="s">
        <v>5</v>
      </c>
      <c r="F216" s="248" t="s">
        <v>415</v>
      </c>
      <c r="G216" s="37"/>
      <c r="H216" s="273">
        <v>5139.75</v>
      </c>
      <c r="I216" s="271">
        <v>5139.75</v>
      </c>
      <c r="J216" s="212">
        <v>0</v>
      </c>
      <c r="K216" s="212">
        <f t="shared" si="4"/>
        <v>5139.75</v>
      </c>
      <c r="L216" s="37"/>
      <c r="M216" s="369">
        <v>11514.423076923078</v>
      </c>
      <c r="N216" s="378">
        <v>121236</v>
      </c>
    </row>
    <row r="217" spans="1:14">
      <c r="A217" s="231">
        <v>3421</v>
      </c>
      <c r="B217" s="4">
        <v>133996</v>
      </c>
      <c r="C217" s="4" t="s">
        <v>577</v>
      </c>
      <c r="D217" s="4" t="s">
        <v>578</v>
      </c>
      <c r="E217" s="213" t="s">
        <v>5</v>
      </c>
      <c r="F217" s="248" t="s">
        <v>415</v>
      </c>
      <c r="G217" s="37"/>
      <c r="H217" s="273">
        <v>24312.75</v>
      </c>
      <c r="I217" s="271">
        <v>24312.75</v>
      </c>
      <c r="J217" s="212">
        <v>0</v>
      </c>
      <c r="K217" s="212">
        <f t="shared" si="4"/>
        <v>24312.75</v>
      </c>
      <c r="L217" s="37"/>
      <c r="M217" s="369">
        <v>0</v>
      </c>
      <c r="N217" s="273"/>
    </row>
    <row r="218" spans="1:14">
      <c r="A218" s="231">
        <v>2184</v>
      </c>
      <c r="B218" s="4">
        <v>103262</v>
      </c>
      <c r="C218" s="4" t="s">
        <v>824</v>
      </c>
      <c r="D218" s="4" t="s">
        <v>825</v>
      </c>
      <c r="E218" s="213" t="s">
        <v>5</v>
      </c>
      <c r="F218" s="248" t="s">
        <v>415</v>
      </c>
      <c r="G218" s="37"/>
      <c r="H218" s="273">
        <v>9471</v>
      </c>
      <c r="I218" s="271">
        <v>9471</v>
      </c>
      <c r="J218" s="212">
        <v>0</v>
      </c>
      <c r="K218" s="212">
        <f t="shared" si="4"/>
        <v>9471</v>
      </c>
      <c r="L218" s="37"/>
      <c r="M218" s="369">
        <v>0</v>
      </c>
      <c r="N218" s="273"/>
    </row>
    <row r="219" spans="1:14" s="224" customFormat="1" ht="15" thickBot="1">
      <c r="A219" s="235"/>
      <c r="B219" s="220"/>
      <c r="C219" s="220"/>
      <c r="D219" s="227" t="s">
        <v>1095</v>
      </c>
      <c r="E219" s="221"/>
      <c r="F219" s="250"/>
      <c r="G219" s="222"/>
      <c r="H219" s="275">
        <f t="shared" ref="H219:K219" si="5">SUM(H73:H218)</f>
        <v>981288.00000000012</v>
      </c>
      <c r="I219" s="275">
        <f t="shared" si="5"/>
        <v>996106.65000000014</v>
      </c>
      <c r="J219" s="275">
        <f t="shared" si="5"/>
        <v>14349.75</v>
      </c>
      <c r="K219" s="275">
        <f t="shared" si="5"/>
        <v>1010456.4000000001</v>
      </c>
      <c r="L219" s="291"/>
      <c r="M219" s="371">
        <v>903898.53391089744</v>
      </c>
      <c r="N219" s="379"/>
    </row>
    <row r="220" spans="1:14" ht="15" thickTop="1">
      <c r="A220" s="231"/>
      <c r="B220" s="4"/>
      <c r="C220" s="4"/>
      <c r="D220" s="4"/>
      <c r="E220" s="4"/>
      <c r="F220" s="232"/>
      <c r="H220" s="271"/>
      <c r="I220" s="271"/>
      <c r="J220" s="4"/>
      <c r="K220" s="4"/>
      <c r="L220" s="292"/>
      <c r="M220" s="369"/>
      <c r="N220" s="273"/>
    </row>
    <row r="221" spans="1:14" ht="15" thickBot="1">
      <c r="A221" s="237"/>
      <c r="B221" s="238"/>
      <c r="C221" s="238"/>
      <c r="D221" s="239"/>
      <c r="E221" s="251"/>
      <c r="F221" s="252"/>
      <c r="G221" s="253" t="s">
        <v>1097</v>
      </c>
      <c r="H221" s="276">
        <f t="shared" ref="H221:K221" si="6">H71+H219</f>
        <v>1483782.3000000003</v>
      </c>
      <c r="I221" s="276">
        <f t="shared" si="6"/>
        <v>1511767.9500000002</v>
      </c>
      <c r="J221" s="276">
        <f t="shared" si="6"/>
        <v>190839</v>
      </c>
      <c r="K221" s="276">
        <f t="shared" si="6"/>
        <v>1702606.9500000002</v>
      </c>
      <c r="M221" s="369">
        <v>1334658.0545192307</v>
      </c>
      <c r="N221" s="273"/>
    </row>
  </sheetData>
  <autoFilter ref="A7:J219" xr:uid="{28D720FD-B264-4603-8A3F-AC523F45178E}"/>
  <mergeCells count="2">
    <mergeCell ref="H4:I4"/>
    <mergeCell ref="H6:K6"/>
  </mergeCells>
  <conditionalFormatting sqref="A7:F7 J7:K7 M7:N7 A8:E8 E9:E219">
    <cfRule type="cellIs" dxfId="6" priority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747EC-2E6A-4F1A-A963-A49EFE7252B8}">
  <sheetPr>
    <tabColor theme="3" tint="0.79998168889431442"/>
  </sheetPr>
  <dimension ref="A1:CC463"/>
  <sheetViews>
    <sheetView topLeftCell="BN1" workbookViewId="0">
      <selection activeCell="I9" sqref="I9"/>
    </sheetView>
  </sheetViews>
  <sheetFormatPr defaultRowHeight="14.5"/>
  <cols>
    <col min="2" max="77" width="17.26953125" customWidth="1"/>
  </cols>
  <sheetData>
    <row r="1" spans="1:81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  <c r="BD1">
        <v>56</v>
      </c>
      <c r="BE1">
        <v>57</v>
      </c>
      <c r="BF1">
        <v>58</v>
      </c>
      <c r="BG1">
        <v>59</v>
      </c>
      <c r="BH1">
        <v>60</v>
      </c>
      <c r="BI1">
        <v>61</v>
      </c>
      <c r="BJ1">
        <v>62</v>
      </c>
      <c r="BK1">
        <v>63</v>
      </c>
      <c r="BL1">
        <v>64</v>
      </c>
      <c r="BM1">
        <v>65</v>
      </c>
      <c r="BN1">
        <v>66</v>
      </c>
      <c r="BO1">
        <v>67</v>
      </c>
      <c r="BP1">
        <v>68</v>
      </c>
      <c r="BQ1">
        <v>69</v>
      </c>
      <c r="BR1">
        <v>70</v>
      </c>
      <c r="BS1">
        <v>71</v>
      </c>
      <c r="BT1">
        <v>72</v>
      </c>
      <c r="BU1">
        <v>73</v>
      </c>
      <c r="BV1">
        <v>74</v>
      </c>
      <c r="BW1">
        <v>75</v>
      </c>
      <c r="BX1">
        <v>76</v>
      </c>
      <c r="BY1">
        <v>77</v>
      </c>
      <c r="BZ1">
        <v>78</v>
      </c>
      <c r="CA1">
        <v>79</v>
      </c>
      <c r="CB1">
        <v>80</v>
      </c>
      <c r="CC1">
        <v>81</v>
      </c>
    </row>
    <row r="2" spans="1:81" ht="116">
      <c r="B2" s="55" t="s">
        <v>7</v>
      </c>
      <c r="C2" s="55" t="s">
        <v>8</v>
      </c>
      <c r="D2" s="55" t="s">
        <v>9</v>
      </c>
      <c r="E2" s="56" t="s">
        <v>99</v>
      </c>
      <c r="F2" s="56" t="s">
        <v>100</v>
      </c>
      <c r="G2" s="56" t="s">
        <v>101</v>
      </c>
      <c r="H2" s="48" t="s">
        <v>10</v>
      </c>
      <c r="I2" s="48" t="s">
        <v>11</v>
      </c>
      <c r="J2" s="48" t="s">
        <v>12</v>
      </c>
      <c r="K2" s="48" t="s">
        <v>102</v>
      </c>
      <c r="L2" s="48" t="s">
        <v>103</v>
      </c>
      <c r="M2" s="48" t="s">
        <v>104</v>
      </c>
      <c r="N2" s="48" t="s">
        <v>105</v>
      </c>
      <c r="O2" s="48" t="s">
        <v>13</v>
      </c>
      <c r="P2" s="48" t="s">
        <v>14</v>
      </c>
      <c r="Q2" s="48" t="s">
        <v>15</v>
      </c>
      <c r="R2" s="48" t="s">
        <v>16</v>
      </c>
      <c r="S2" s="48" t="s">
        <v>17</v>
      </c>
      <c r="T2" s="48" t="s">
        <v>18</v>
      </c>
      <c r="U2" s="48" t="s">
        <v>19</v>
      </c>
      <c r="V2" s="48" t="s">
        <v>20</v>
      </c>
      <c r="W2" s="48" t="s">
        <v>21</v>
      </c>
      <c r="X2" s="48" t="s">
        <v>22</v>
      </c>
      <c r="Y2" s="48" t="s">
        <v>23</v>
      </c>
      <c r="Z2" s="48" t="s">
        <v>24</v>
      </c>
      <c r="AA2" s="48" t="s">
        <v>25</v>
      </c>
      <c r="AB2" s="48" t="s">
        <v>26</v>
      </c>
      <c r="AC2" s="48" t="s">
        <v>95</v>
      </c>
      <c r="AD2" s="48" t="s">
        <v>96</v>
      </c>
      <c r="AE2" s="48" t="s">
        <v>27</v>
      </c>
      <c r="AF2" s="48" t="s">
        <v>28</v>
      </c>
      <c r="AG2" s="48" t="s">
        <v>29</v>
      </c>
      <c r="AH2" s="48" t="s">
        <v>30</v>
      </c>
      <c r="AI2" s="48" t="s">
        <v>31</v>
      </c>
      <c r="AJ2" s="48" t="s">
        <v>32</v>
      </c>
      <c r="AK2" s="48" t="s">
        <v>33</v>
      </c>
      <c r="AL2" s="48" t="s">
        <v>34</v>
      </c>
      <c r="AM2" s="48" t="s">
        <v>165</v>
      </c>
      <c r="AN2" s="48" t="s">
        <v>166</v>
      </c>
      <c r="AO2" s="48" t="s">
        <v>167</v>
      </c>
      <c r="AP2" s="48" t="s">
        <v>168</v>
      </c>
      <c r="AQ2" s="48" t="s">
        <v>169</v>
      </c>
      <c r="AR2" s="48" t="s">
        <v>170</v>
      </c>
      <c r="AS2" s="48" t="s">
        <v>171</v>
      </c>
      <c r="AT2" s="48" t="s">
        <v>35</v>
      </c>
      <c r="AU2" s="48" t="s">
        <v>36</v>
      </c>
      <c r="AV2" s="49" t="s">
        <v>37</v>
      </c>
      <c r="AW2" s="48" t="s">
        <v>38</v>
      </c>
      <c r="AX2" s="48" t="s">
        <v>39</v>
      </c>
      <c r="AY2" s="57" t="s">
        <v>97</v>
      </c>
      <c r="AZ2" s="57" t="s">
        <v>85</v>
      </c>
      <c r="BA2" s="57" t="s">
        <v>86</v>
      </c>
      <c r="BB2" s="57" t="s">
        <v>87</v>
      </c>
      <c r="BC2" s="57" t="s">
        <v>88</v>
      </c>
      <c r="BD2" s="57" t="s">
        <v>89</v>
      </c>
      <c r="BE2" s="58" t="s">
        <v>40</v>
      </c>
      <c r="BF2" s="58" t="s">
        <v>41</v>
      </c>
      <c r="BG2" s="57" t="s">
        <v>172</v>
      </c>
      <c r="BH2" s="57" t="s">
        <v>98</v>
      </c>
      <c r="BI2" s="57" t="s">
        <v>173</v>
      </c>
      <c r="BJ2" s="57" t="s">
        <v>174</v>
      </c>
      <c r="BK2" s="57" t="s">
        <v>107</v>
      </c>
      <c r="BL2" s="50" t="s">
        <v>42</v>
      </c>
      <c r="BM2" s="50" t="s">
        <v>43</v>
      </c>
      <c r="BN2" s="57" t="s">
        <v>175</v>
      </c>
      <c r="BO2" s="57" t="s">
        <v>176</v>
      </c>
      <c r="BP2" s="57" t="s">
        <v>90</v>
      </c>
      <c r="BQ2" s="57" t="s">
        <v>91</v>
      </c>
      <c r="BR2" s="58" t="s">
        <v>177</v>
      </c>
      <c r="BS2" s="51" t="s">
        <v>106</v>
      </c>
      <c r="BT2" s="58" t="s">
        <v>44</v>
      </c>
      <c r="BU2" s="58" t="s">
        <v>45</v>
      </c>
      <c r="BV2" s="58" t="s">
        <v>46</v>
      </c>
      <c r="BW2" s="58" t="s">
        <v>47</v>
      </c>
      <c r="BX2" s="58" t="s">
        <v>178</v>
      </c>
      <c r="BY2" s="58" t="s">
        <v>179</v>
      </c>
    </row>
    <row r="3" spans="1:81">
      <c r="B3" s="427" t="s">
        <v>48</v>
      </c>
      <c r="C3" s="428"/>
      <c r="D3" s="429"/>
      <c r="E3" s="59">
        <v>183272.6</v>
      </c>
      <c r="F3" s="59">
        <v>108218</v>
      </c>
      <c r="G3" s="59">
        <v>75054.600000000006</v>
      </c>
      <c r="H3" s="209">
        <v>386825522.36679995</v>
      </c>
      <c r="I3" s="209">
        <v>227083585.78111988</v>
      </c>
      <c r="J3" s="209">
        <v>170397698.64950001</v>
      </c>
      <c r="K3" s="209">
        <v>21643788.99198759</v>
      </c>
      <c r="L3" s="209">
        <v>14598518.677528149</v>
      </c>
      <c r="M3" s="209">
        <v>37256484.30409468</v>
      </c>
      <c r="N3" s="209">
        <v>40591968.267063119</v>
      </c>
      <c r="O3" s="209">
        <v>2045786.909027691</v>
      </c>
      <c r="P3" s="209">
        <v>3733307.5003209421</v>
      </c>
      <c r="Q3" s="209">
        <v>5478471.2681450909</v>
      </c>
      <c r="R3" s="209">
        <v>8501951.9288798887</v>
      </c>
      <c r="S3" s="209">
        <v>11523158.856505519</v>
      </c>
      <c r="T3" s="209">
        <v>6396801.1248129578</v>
      </c>
      <c r="U3" s="209">
        <v>2033611.2777501959</v>
      </c>
      <c r="V3" s="209">
        <v>4231866.3969655093</v>
      </c>
      <c r="W3" s="209">
        <v>5350531.2025675233</v>
      </c>
      <c r="X3" s="209">
        <v>8710035.6639528088</v>
      </c>
      <c r="Y3" s="209">
        <v>11131838.873277711</v>
      </c>
      <c r="Z3" s="209">
        <v>5632204.9590097461</v>
      </c>
      <c r="AA3" s="209">
        <v>15413417.318119029</v>
      </c>
      <c r="AB3" s="209">
        <v>6404565.7951101437</v>
      </c>
      <c r="AC3" s="209">
        <v>42696455.809550218</v>
      </c>
      <c r="AD3" s="209">
        <v>29750470.082348794</v>
      </c>
      <c r="AE3" s="209">
        <v>1825365.6549708003</v>
      </c>
      <c r="AF3" s="209">
        <v>717556.35745254951</v>
      </c>
      <c r="AG3" s="209">
        <v>52809032.279999718</v>
      </c>
      <c r="AH3" s="209">
        <v>0</v>
      </c>
      <c r="AI3" s="209">
        <v>0</v>
      </c>
      <c r="AJ3" s="209">
        <v>646721.33658470761</v>
      </c>
      <c r="AK3" s="209">
        <v>7802311.0069000032</v>
      </c>
      <c r="AL3" s="209">
        <v>5529456.6799999997</v>
      </c>
      <c r="AM3" s="209">
        <v>96770.48</v>
      </c>
      <c r="AN3" s="209">
        <v>0</v>
      </c>
      <c r="AO3" s="209">
        <v>0</v>
      </c>
      <c r="AP3" s="209">
        <v>0</v>
      </c>
      <c r="AQ3" s="209">
        <v>0</v>
      </c>
      <c r="AR3" s="209">
        <v>0</v>
      </c>
      <c r="AS3" s="209">
        <v>0</v>
      </c>
      <c r="AT3" s="209">
        <v>784306806.79742014</v>
      </c>
      <c r="AU3" s="209">
        <v>285668157.2194407</v>
      </c>
      <c r="AV3" s="209">
        <v>66884291.783484675</v>
      </c>
      <c r="AW3" s="209">
        <v>206092429.33271453</v>
      </c>
      <c r="AX3" s="209">
        <v>1136859255.8003449</v>
      </c>
      <c r="AY3" s="209">
        <v>1122880766.7768605</v>
      </c>
      <c r="AZ3" s="210"/>
      <c r="BA3" s="210">
        <v>946173586.26666677</v>
      </c>
      <c r="BB3" s="209">
        <v>1705696.5620329911</v>
      </c>
      <c r="BC3" s="209">
        <v>425340.31683222391</v>
      </c>
      <c r="BD3" s="209">
        <v>1138990292.6792102</v>
      </c>
      <c r="BE3" s="209">
        <v>593147189.18216956</v>
      </c>
      <c r="BF3" s="209">
        <v>545843103.49704039</v>
      </c>
      <c r="BG3" s="209">
        <v>960152075.29015124</v>
      </c>
      <c r="BH3" s="210"/>
      <c r="BI3" s="209">
        <v>1078282178.9123099</v>
      </c>
      <c r="BJ3" s="209">
        <v>2110660.0528618977</v>
      </c>
      <c r="BK3" s="209">
        <v>2091281.0148692036</v>
      </c>
      <c r="BL3" s="210"/>
      <c r="BM3" s="210"/>
      <c r="BN3" s="209">
        <v>6124687.8395910924</v>
      </c>
      <c r="BO3" s="209">
        <v>1145114980.518801</v>
      </c>
      <c r="BP3" s="210"/>
      <c r="BQ3" s="210"/>
      <c r="BR3" s="210"/>
      <c r="BS3" s="210"/>
      <c r="BT3" s="209">
        <v>-1620672.43</v>
      </c>
      <c r="BU3" s="209">
        <v>1143494308.0888014</v>
      </c>
      <c r="BV3" s="209">
        <v>0</v>
      </c>
      <c r="BW3" s="209">
        <v>1143494308.0888014</v>
      </c>
      <c r="BX3" s="209">
        <v>7802311.0069000032</v>
      </c>
      <c r="BY3" s="209">
        <v>1135691997.081902</v>
      </c>
    </row>
    <row r="4" spans="1:81">
      <c r="A4">
        <v>2004</v>
      </c>
      <c r="B4" s="60">
        <v>134094</v>
      </c>
      <c r="C4" s="60">
        <v>3302004</v>
      </c>
      <c r="D4" s="61" t="s">
        <v>712</v>
      </c>
      <c r="E4" s="52">
        <v>312</v>
      </c>
      <c r="F4" s="52">
        <v>312</v>
      </c>
      <c r="G4" s="52">
        <v>0</v>
      </c>
      <c r="H4" s="44">
        <v>1115244.8111999999</v>
      </c>
      <c r="I4" s="44">
        <v>0</v>
      </c>
      <c r="J4" s="44">
        <v>0</v>
      </c>
      <c r="K4" s="44">
        <v>65890.466599999927</v>
      </c>
      <c r="L4" s="44">
        <v>0</v>
      </c>
      <c r="M4" s="44">
        <v>110265.67879999988</v>
      </c>
      <c r="N4" s="44">
        <v>0</v>
      </c>
      <c r="O4" s="44">
        <v>1886.5983999999969</v>
      </c>
      <c r="P4" s="44">
        <v>2002.0020999999967</v>
      </c>
      <c r="Q4" s="44">
        <v>0</v>
      </c>
      <c r="R4" s="44">
        <v>63271.29900000005</v>
      </c>
      <c r="S4" s="44">
        <v>14470.612799999992</v>
      </c>
      <c r="T4" s="44">
        <v>13647.736000000001</v>
      </c>
      <c r="U4" s="44">
        <v>0</v>
      </c>
      <c r="V4" s="44">
        <v>0</v>
      </c>
      <c r="W4" s="44">
        <v>0</v>
      </c>
      <c r="X4" s="44">
        <v>0</v>
      </c>
      <c r="Y4" s="44">
        <v>0</v>
      </c>
      <c r="Z4" s="44">
        <v>0</v>
      </c>
      <c r="AA4" s="44">
        <v>21367.57367462691</v>
      </c>
      <c r="AB4" s="44">
        <v>0</v>
      </c>
      <c r="AC4" s="44">
        <v>120087.54516292676</v>
      </c>
      <c r="AD4" s="44">
        <v>0</v>
      </c>
      <c r="AE4" s="44">
        <v>0</v>
      </c>
      <c r="AF4" s="44">
        <v>0</v>
      </c>
      <c r="AG4" s="44">
        <v>138243.54</v>
      </c>
      <c r="AH4" s="44">
        <v>0</v>
      </c>
      <c r="AI4" s="44">
        <v>0</v>
      </c>
      <c r="AJ4" s="44">
        <v>0</v>
      </c>
      <c r="AK4" s="44">
        <v>23631.702000000001</v>
      </c>
      <c r="AL4" s="44">
        <v>0</v>
      </c>
      <c r="AM4" s="44">
        <v>0</v>
      </c>
      <c r="AN4" s="44">
        <v>0</v>
      </c>
      <c r="AO4" s="44">
        <v>0</v>
      </c>
      <c r="AP4" s="44">
        <v>0</v>
      </c>
      <c r="AQ4" s="44">
        <v>0</v>
      </c>
      <c r="AR4" s="44">
        <v>0</v>
      </c>
      <c r="AS4" s="44">
        <v>0</v>
      </c>
      <c r="AT4" s="44">
        <v>1115244.8111999999</v>
      </c>
      <c r="AU4" s="44">
        <v>412889.51253755356</v>
      </c>
      <c r="AV4" s="44">
        <v>161875.242</v>
      </c>
      <c r="AW4" s="44">
        <v>311566.98257292667</v>
      </c>
      <c r="AX4" s="62">
        <v>1690009.5657375534</v>
      </c>
      <c r="AY4" s="62">
        <v>1666377.8637375534</v>
      </c>
      <c r="AZ4" s="62">
        <v>4610</v>
      </c>
      <c r="BA4" s="62">
        <v>1438320</v>
      </c>
      <c r="BB4" s="62">
        <v>0</v>
      </c>
      <c r="BC4" s="62">
        <v>0</v>
      </c>
      <c r="BD4" s="62">
        <v>1690009.5657375534</v>
      </c>
      <c r="BE4" s="44">
        <v>1690009.5657375534</v>
      </c>
      <c r="BF4" s="44">
        <v>0</v>
      </c>
      <c r="BG4" s="62">
        <v>1461951.702</v>
      </c>
      <c r="BH4" s="62">
        <v>1300076.46</v>
      </c>
      <c r="BI4" s="44">
        <v>1528134.3237375533</v>
      </c>
      <c r="BJ4" s="44">
        <v>4897.8664222357475</v>
      </c>
      <c r="BK4" s="44">
        <v>4745.7449350482311</v>
      </c>
      <c r="BL4" s="45">
        <v>3.2054290584407549E-2</v>
      </c>
      <c r="BM4" s="45">
        <v>0</v>
      </c>
      <c r="BN4" s="44">
        <v>0</v>
      </c>
      <c r="BO4" s="62">
        <v>1690009.5657375534</v>
      </c>
      <c r="BP4" s="62">
        <v>5340.954691466517</v>
      </c>
      <c r="BQ4" s="62" t="s">
        <v>92</v>
      </c>
      <c r="BR4" s="62">
        <v>5416.6973260819022</v>
      </c>
      <c r="BS4" s="53">
        <v>2.9001807316392014E-2</v>
      </c>
      <c r="BT4" s="44">
        <v>-7821.84</v>
      </c>
      <c r="BU4" s="44">
        <v>1682187.7257375533</v>
      </c>
      <c r="BV4" s="44">
        <v>0</v>
      </c>
      <c r="BW4" s="44">
        <v>1682187.7257375533</v>
      </c>
      <c r="BX4" s="44">
        <v>23631.702000000001</v>
      </c>
      <c r="BY4" s="44">
        <v>1658556.0237375533</v>
      </c>
    </row>
    <row r="5" spans="1:81">
      <c r="A5">
        <v>2005</v>
      </c>
      <c r="B5" s="60">
        <v>134098</v>
      </c>
      <c r="C5" s="60">
        <v>3302005</v>
      </c>
      <c r="D5" s="61" t="s">
        <v>691</v>
      </c>
      <c r="E5" s="52">
        <v>628</v>
      </c>
      <c r="F5" s="52">
        <v>628</v>
      </c>
      <c r="G5" s="52">
        <v>0</v>
      </c>
      <c r="H5" s="44">
        <v>2244787.6327999998</v>
      </c>
      <c r="I5" s="44">
        <v>0</v>
      </c>
      <c r="J5" s="44">
        <v>0</v>
      </c>
      <c r="K5" s="44">
        <v>58514.668100000126</v>
      </c>
      <c r="L5" s="44">
        <v>0</v>
      </c>
      <c r="M5" s="44">
        <v>101214.01860000002</v>
      </c>
      <c r="N5" s="44">
        <v>0</v>
      </c>
      <c r="O5" s="44">
        <v>2594.0728000000031</v>
      </c>
      <c r="P5" s="44">
        <v>9438.0098999999936</v>
      </c>
      <c r="Q5" s="44">
        <v>4465.6190000000015</v>
      </c>
      <c r="R5" s="44">
        <v>12167.557499999992</v>
      </c>
      <c r="S5" s="44">
        <v>5684.8836000000065</v>
      </c>
      <c r="T5" s="44">
        <v>10918.188799999989</v>
      </c>
      <c r="U5" s="44">
        <v>0</v>
      </c>
      <c r="V5" s="44">
        <v>0</v>
      </c>
      <c r="W5" s="44">
        <v>0</v>
      </c>
      <c r="X5" s="44">
        <v>0</v>
      </c>
      <c r="Y5" s="44">
        <v>0</v>
      </c>
      <c r="Z5" s="44">
        <v>0</v>
      </c>
      <c r="AA5" s="44">
        <v>54195.242602952167</v>
      </c>
      <c r="AB5" s="44">
        <v>0</v>
      </c>
      <c r="AC5" s="44">
        <v>206251.70212957627</v>
      </c>
      <c r="AD5" s="44">
        <v>0</v>
      </c>
      <c r="AE5" s="44">
        <v>0</v>
      </c>
      <c r="AF5" s="44">
        <v>0</v>
      </c>
      <c r="AG5" s="44">
        <v>138243.54</v>
      </c>
      <c r="AH5" s="44">
        <v>0</v>
      </c>
      <c r="AI5" s="44">
        <v>0</v>
      </c>
      <c r="AJ5" s="44">
        <v>0</v>
      </c>
      <c r="AK5" s="44">
        <v>55649.663999999997</v>
      </c>
      <c r="AL5" s="44">
        <v>0</v>
      </c>
      <c r="AM5" s="44">
        <v>0</v>
      </c>
      <c r="AN5" s="44">
        <v>0</v>
      </c>
      <c r="AO5" s="44">
        <v>0</v>
      </c>
      <c r="AP5" s="44">
        <v>0</v>
      </c>
      <c r="AQ5" s="44">
        <v>0</v>
      </c>
      <c r="AR5" s="44">
        <v>0</v>
      </c>
      <c r="AS5" s="44">
        <v>0</v>
      </c>
      <c r="AT5" s="44">
        <v>2244787.6327999998</v>
      </c>
      <c r="AU5" s="44">
        <v>465443.96303252853</v>
      </c>
      <c r="AV5" s="44">
        <v>193893.204</v>
      </c>
      <c r="AW5" s="44">
        <v>420989.59291957633</v>
      </c>
      <c r="AX5" s="62">
        <v>2904124.7998325285</v>
      </c>
      <c r="AY5" s="62">
        <v>2848475.1358325286</v>
      </c>
      <c r="AZ5" s="62">
        <v>4610</v>
      </c>
      <c r="BA5" s="62">
        <v>2895080</v>
      </c>
      <c r="BB5" s="62">
        <v>46604.864167471416</v>
      </c>
      <c r="BC5" s="62">
        <v>0</v>
      </c>
      <c r="BD5" s="62">
        <v>2950729.6639999999</v>
      </c>
      <c r="BE5" s="44">
        <v>2950729.6640000003</v>
      </c>
      <c r="BF5" s="44">
        <v>0</v>
      </c>
      <c r="BG5" s="62">
        <v>2950729.6639999999</v>
      </c>
      <c r="BH5" s="62">
        <v>2756836.46</v>
      </c>
      <c r="BI5" s="44">
        <v>2756836.46</v>
      </c>
      <c r="BJ5" s="44">
        <v>4389.8669745222933</v>
      </c>
      <c r="BK5" s="44">
        <v>4333.2694690363351</v>
      </c>
      <c r="BL5" s="45">
        <v>1.3061155298644463E-2</v>
      </c>
      <c r="BM5" s="45">
        <v>0</v>
      </c>
      <c r="BN5" s="44">
        <v>0</v>
      </c>
      <c r="BO5" s="62">
        <v>2950729.6639999999</v>
      </c>
      <c r="BP5" s="62">
        <v>4610</v>
      </c>
      <c r="BQ5" s="62" t="s">
        <v>92</v>
      </c>
      <c r="BR5" s="62">
        <v>4698.6141146496811</v>
      </c>
      <c r="BS5" s="53">
        <v>1.3283727424945324E-2</v>
      </c>
      <c r="BT5" s="44">
        <v>-15743.960000000001</v>
      </c>
      <c r="BU5" s="44">
        <v>2934985.7039999999</v>
      </c>
      <c r="BV5" s="44">
        <v>0</v>
      </c>
      <c r="BW5" s="44">
        <v>2934985.7039999999</v>
      </c>
      <c r="BX5" s="44">
        <v>55649.663999999997</v>
      </c>
      <c r="BY5" s="44">
        <v>2879336.04</v>
      </c>
    </row>
    <row r="6" spans="1:81">
      <c r="A6">
        <v>2008</v>
      </c>
      <c r="B6" s="60">
        <v>103157</v>
      </c>
      <c r="C6" s="60">
        <v>3302008</v>
      </c>
      <c r="D6" s="61" t="s">
        <v>503</v>
      </c>
      <c r="E6" s="52">
        <v>424</v>
      </c>
      <c r="F6" s="52">
        <v>424</v>
      </c>
      <c r="G6" s="52">
        <v>0</v>
      </c>
      <c r="H6" s="44">
        <v>1515589.1024</v>
      </c>
      <c r="I6" s="44">
        <v>0</v>
      </c>
      <c r="J6" s="44">
        <v>0</v>
      </c>
      <c r="K6" s="44">
        <v>93918.500900000086</v>
      </c>
      <c r="L6" s="44">
        <v>0</v>
      </c>
      <c r="M6" s="44">
        <v>159638.37080000006</v>
      </c>
      <c r="N6" s="44">
        <v>0</v>
      </c>
      <c r="O6" s="44">
        <v>943.29919999999959</v>
      </c>
      <c r="P6" s="44">
        <v>63492.066599999947</v>
      </c>
      <c r="Q6" s="44">
        <v>13843.418899999997</v>
      </c>
      <c r="R6" s="44">
        <v>18007.985099999991</v>
      </c>
      <c r="S6" s="44">
        <v>62533.719599999989</v>
      </c>
      <c r="T6" s="44">
        <v>2729.5471999999986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101247.39500994481</v>
      </c>
      <c r="AB6" s="44">
        <v>0</v>
      </c>
      <c r="AC6" s="44">
        <v>114013.62087188741</v>
      </c>
      <c r="AD6" s="44">
        <v>0</v>
      </c>
      <c r="AE6" s="44">
        <v>0</v>
      </c>
      <c r="AF6" s="44">
        <v>0</v>
      </c>
      <c r="AG6" s="44">
        <v>138243.54</v>
      </c>
      <c r="AH6" s="44">
        <v>0</v>
      </c>
      <c r="AI6" s="44">
        <v>0</v>
      </c>
      <c r="AJ6" s="44">
        <v>0</v>
      </c>
      <c r="AK6" s="44">
        <v>28884.8256</v>
      </c>
      <c r="AL6" s="44">
        <v>0</v>
      </c>
      <c r="AM6" s="44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1515589.1024</v>
      </c>
      <c r="AU6" s="44">
        <v>630367.92418183223</v>
      </c>
      <c r="AV6" s="44">
        <v>167128.36560000002</v>
      </c>
      <c r="AW6" s="44">
        <v>397346.53014188749</v>
      </c>
      <c r="AX6" s="62">
        <v>2313085.3921818323</v>
      </c>
      <c r="AY6" s="62">
        <v>2284200.5665818322</v>
      </c>
      <c r="AZ6" s="62">
        <v>4610</v>
      </c>
      <c r="BA6" s="62">
        <v>1954640</v>
      </c>
      <c r="BB6" s="62">
        <v>0</v>
      </c>
      <c r="BC6" s="62">
        <v>0</v>
      </c>
      <c r="BD6" s="62">
        <v>2313085.3921818323</v>
      </c>
      <c r="BE6" s="44">
        <v>2313085.3921818323</v>
      </c>
      <c r="BF6" s="44">
        <v>0</v>
      </c>
      <c r="BG6" s="62">
        <v>1983524.8256000001</v>
      </c>
      <c r="BH6" s="62">
        <v>1816396.46</v>
      </c>
      <c r="BI6" s="44">
        <v>2145957.0265818322</v>
      </c>
      <c r="BJ6" s="44">
        <v>5061.2194023156417</v>
      </c>
      <c r="BK6" s="44">
        <v>5137.4889184397161</v>
      </c>
      <c r="BL6" s="45">
        <v>-1.4845679929415389E-2</v>
      </c>
      <c r="BM6" s="45">
        <v>1.984567992941539E-2</v>
      </c>
      <c r="BN6" s="44">
        <v>43229.751343699776</v>
      </c>
      <c r="BO6" s="62">
        <v>2356315.143525532</v>
      </c>
      <c r="BP6" s="62">
        <v>5489.2224479375755</v>
      </c>
      <c r="BQ6" s="62" t="s">
        <v>92</v>
      </c>
      <c r="BR6" s="62">
        <v>5557.3470366168203</v>
      </c>
      <c r="BS6" s="53">
        <v>4.8357301007164732E-3</v>
      </c>
      <c r="BT6" s="44">
        <v>-10629.68</v>
      </c>
      <c r="BU6" s="44">
        <v>2345685.4635255318</v>
      </c>
      <c r="BV6" s="44">
        <v>0</v>
      </c>
      <c r="BW6" s="44">
        <v>2345685.4635255318</v>
      </c>
      <c r="BX6" s="44">
        <v>28884.8256</v>
      </c>
      <c r="BY6" s="44">
        <v>2316800.6379255317</v>
      </c>
    </row>
    <row r="7" spans="1:81">
      <c r="A7">
        <v>2010</v>
      </c>
      <c r="B7" s="60">
        <v>103159</v>
      </c>
      <c r="C7" s="60">
        <v>3302010</v>
      </c>
      <c r="D7" s="61" t="s">
        <v>230</v>
      </c>
      <c r="E7" s="52">
        <v>424</v>
      </c>
      <c r="F7" s="52">
        <v>424</v>
      </c>
      <c r="G7" s="52">
        <v>0</v>
      </c>
      <c r="H7" s="44">
        <v>1515589.1024</v>
      </c>
      <c r="I7" s="44">
        <v>0</v>
      </c>
      <c r="J7" s="44">
        <v>0</v>
      </c>
      <c r="K7" s="44">
        <v>108178.37800000003</v>
      </c>
      <c r="L7" s="44">
        <v>0</v>
      </c>
      <c r="M7" s="44">
        <v>185970.47319999989</v>
      </c>
      <c r="N7" s="44">
        <v>0</v>
      </c>
      <c r="O7" s="44">
        <v>943.29919999999959</v>
      </c>
      <c r="P7" s="44">
        <v>7722.0081000000027</v>
      </c>
      <c r="Q7" s="44">
        <v>24560.90449999991</v>
      </c>
      <c r="R7" s="44">
        <v>49643.634599999983</v>
      </c>
      <c r="S7" s="44">
        <v>115248.09479999996</v>
      </c>
      <c r="T7" s="44">
        <v>2047.1604000000009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104543.70204562333</v>
      </c>
      <c r="AB7" s="44">
        <v>0</v>
      </c>
      <c r="AC7" s="44">
        <v>162399.63117308074</v>
      </c>
      <c r="AD7" s="44">
        <v>0</v>
      </c>
      <c r="AE7" s="44">
        <v>26550.466176000002</v>
      </c>
      <c r="AF7" s="44">
        <v>0</v>
      </c>
      <c r="AG7" s="44">
        <v>138243.54</v>
      </c>
      <c r="AH7" s="44">
        <v>0</v>
      </c>
      <c r="AI7" s="44">
        <v>0</v>
      </c>
      <c r="AJ7" s="44">
        <v>0</v>
      </c>
      <c r="AK7" s="44">
        <v>47169.715199999999</v>
      </c>
      <c r="AL7" s="44">
        <v>0</v>
      </c>
      <c r="AM7" s="44">
        <v>0</v>
      </c>
      <c r="AN7" s="44">
        <v>0</v>
      </c>
      <c r="AO7" s="44">
        <v>0</v>
      </c>
      <c r="AP7" s="44">
        <v>0</v>
      </c>
      <c r="AQ7" s="44">
        <v>0</v>
      </c>
      <c r="AR7" s="44">
        <v>0</v>
      </c>
      <c r="AS7" s="44">
        <v>0</v>
      </c>
      <c r="AT7" s="44">
        <v>1515589.1024</v>
      </c>
      <c r="AU7" s="44">
        <v>787807.75219470379</v>
      </c>
      <c r="AV7" s="44">
        <v>185413.25520000001</v>
      </c>
      <c r="AW7" s="44">
        <v>485336.06269308063</v>
      </c>
      <c r="AX7" s="62">
        <v>2488810.1097947038</v>
      </c>
      <c r="AY7" s="62">
        <v>2441640.3945947038</v>
      </c>
      <c r="AZ7" s="62">
        <v>4610</v>
      </c>
      <c r="BA7" s="62">
        <v>1954640</v>
      </c>
      <c r="BB7" s="62">
        <v>0</v>
      </c>
      <c r="BC7" s="62">
        <v>0</v>
      </c>
      <c r="BD7" s="62">
        <v>2488810.1097947038</v>
      </c>
      <c r="BE7" s="44">
        <v>2488810.1097947038</v>
      </c>
      <c r="BF7" s="44">
        <v>0</v>
      </c>
      <c r="BG7" s="62">
        <v>2001809.7152</v>
      </c>
      <c r="BH7" s="62">
        <v>1816396.46</v>
      </c>
      <c r="BI7" s="44">
        <v>2303396.8545947038</v>
      </c>
      <c r="BJ7" s="44">
        <v>5432.5397514026035</v>
      </c>
      <c r="BK7" s="44">
        <v>5261.1344556541035</v>
      </c>
      <c r="BL7" s="45">
        <v>3.2579531504710366E-2</v>
      </c>
      <c r="BM7" s="45">
        <v>0</v>
      </c>
      <c r="BN7" s="44">
        <v>0</v>
      </c>
      <c r="BO7" s="62">
        <v>2488810.1097947038</v>
      </c>
      <c r="BP7" s="62">
        <v>5758.5858363082634</v>
      </c>
      <c r="BQ7" s="62" t="s">
        <v>92</v>
      </c>
      <c r="BR7" s="62">
        <v>5869.8351646101501</v>
      </c>
      <c r="BS7" s="53">
        <v>3.5389647122559653E-2</v>
      </c>
      <c r="BT7" s="44">
        <v>-10629.68</v>
      </c>
      <c r="BU7" s="44">
        <v>2478180.4297947036</v>
      </c>
      <c r="BV7" s="44">
        <v>0</v>
      </c>
      <c r="BW7" s="44">
        <v>2478180.4297947036</v>
      </c>
      <c r="BX7" s="44">
        <v>47169.715199999999</v>
      </c>
      <c r="BY7" s="44">
        <v>2431010.7145947036</v>
      </c>
    </row>
    <row r="8" spans="1:81">
      <c r="A8">
        <v>2011</v>
      </c>
      <c r="B8" s="60">
        <v>134099</v>
      </c>
      <c r="C8" s="60">
        <v>3302011</v>
      </c>
      <c r="D8" s="61" t="s">
        <v>396</v>
      </c>
      <c r="E8" s="52">
        <v>616</v>
      </c>
      <c r="F8" s="52">
        <v>616</v>
      </c>
      <c r="G8" s="52">
        <v>0</v>
      </c>
      <c r="H8" s="44">
        <v>2201893.6015999997</v>
      </c>
      <c r="I8" s="44">
        <v>0</v>
      </c>
      <c r="J8" s="44">
        <v>0</v>
      </c>
      <c r="K8" s="44">
        <v>97360.540199999872</v>
      </c>
      <c r="L8" s="44">
        <v>0</v>
      </c>
      <c r="M8" s="44">
        <v>162929.8835999998</v>
      </c>
      <c r="N8" s="44">
        <v>0</v>
      </c>
      <c r="O8" s="44">
        <v>2829.897600000003</v>
      </c>
      <c r="P8" s="44">
        <v>51480.053999999967</v>
      </c>
      <c r="Q8" s="44">
        <v>5805.3046999999988</v>
      </c>
      <c r="R8" s="44">
        <v>5840.4276000000054</v>
      </c>
      <c r="S8" s="44">
        <v>33592.494000000152</v>
      </c>
      <c r="T8" s="44">
        <v>36848.887200000019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66122.116541984695</v>
      </c>
      <c r="AB8" s="44">
        <v>0</v>
      </c>
      <c r="AC8" s="44">
        <v>265323.71249031683</v>
      </c>
      <c r="AD8" s="44">
        <v>0</v>
      </c>
      <c r="AE8" s="44">
        <v>0</v>
      </c>
      <c r="AF8" s="44">
        <v>0</v>
      </c>
      <c r="AG8" s="44">
        <v>138243.54</v>
      </c>
      <c r="AH8" s="44">
        <v>0</v>
      </c>
      <c r="AI8" s="44">
        <v>0</v>
      </c>
      <c r="AJ8" s="44">
        <v>0</v>
      </c>
      <c r="AK8" s="44">
        <v>87256.254300000001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0</v>
      </c>
      <c r="AT8" s="44">
        <v>2201893.6015999997</v>
      </c>
      <c r="AU8" s="44">
        <v>728133.31793230132</v>
      </c>
      <c r="AV8" s="44">
        <v>225499.79430000001</v>
      </c>
      <c r="AW8" s="44">
        <v>573762.13702031679</v>
      </c>
      <c r="AX8" s="62">
        <v>3155526.7138323011</v>
      </c>
      <c r="AY8" s="62">
        <v>3068270.4595323009</v>
      </c>
      <c r="AZ8" s="62">
        <v>4610</v>
      </c>
      <c r="BA8" s="62">
        <v>2839760</v>
      </c>
      <c r="BB8" s="62">
        <v>0</v>
      </c>
      <c r="BC8" s="62">
        <v>0</v>
      </c>
      <c r="BD8" s="62">
        <v>3155526.7138323011</v>
      </c>
      <c r="BE8" s="44">
        <v>3155526.7138323011</v>
      </c>
      <c r="BF8" s="44">
        <v>0</v>
      </c>
      <c r="BG8" s="62">
        <v>2927016.2543000001</v>
      </c>
      <c r="BH8" s="62">
        <v>2701516.46</v>
      </c>
      <c r="BI8" s="44">
        <v>2930026.9195323009</v>
      </c>
      <c r="BJ8" s="44">
        <v>4756.5372070329558</v>
      </c>
      <c r="BK8" s="44">
        <v>4595.9831405315617</v>
      </c>
      <c r="BL8" s="45">
        <v>3.4933562981439653E-2</v>
      </c>
      <c r="BM8" s="45">
        <v>0</v>
      </c>
      <c r="BN8" s="44">
        <v>0</v>
      </c>
      <c r="BO8" s="62">
        <v>3155526.7138323011</v>
      </c>
      <c r="BP8" s="62">
        <v>4980.9585382017876</v>
      </c>
      <c r="BQ8" s="62" t="s">
        <v>92</v>
      </c>
      <c r="BR8" s="62">
        <v>5122.6083016758139</v>
      </c>
      <c r="BS8" s="53">
        <v>3.1464271373800701E-2</v>
      </c>
      <c r="BT8" s="44">
        <v>-15443.12</v>
      </c>
      <c r="BU8" s="44">
        <v>3140083.593832301</v>
      </c>
      <c r="BV8" s="44">
        <v>0</v>
      </c>
      <c r="BW8" s="44">
        <v>3140083.593832301</v>
      </c>
      <c r="BX8" s="44">
        <v>87256.254300000001</v>
      </c>
      <c r="BY8" s="44">
        <v>3052827.3395323008</v>
      </c>
    </row>
    <row r="9" spans="1:81">
      <c r="A9">
        <v>2014</v>
      </c>
      <c r="B9" s="60">
        <v>103162</v>
      </c>
      <c r="C9" s="60">
        <v>3302014</v>
      </c>
      <c r="D9" s="61" t="s">
        <v>587</v>
      </c>
      <c r="E9" s="52">
        <v>393</v>
      </c>
      <c r="F9" s="52">
        <v>393</v>
      </c>
      <c r="G9" s="52">
        <v>0</v>
      </c>
      <c r="H9" s="44">
        <v>1404779.5218</v>
      </c>
      <c r="I9" s="44">
        <v>0</v>
      </c>
      <c r="J9" s="44">
        <v>0</v>
      </c>
      <c r="K9" s="44">
        <v>77200.024300000048</v>
      </c>
      <c r="L9" s="44">
        <v>0</v>
      </c>
      <c r="M9" s="44">
        <v>136597.78119999988</v>
      </c>
      <c r="N9" s="44">
        <v>0</v>
      </c>
      <c r="O9" s="44">
        <v>2594.0728000000045</v>
      </c>
      <c r="P9" s="44">
        <v>16874.017699999964</v>
      </c>
      <c r="Q9" s="44">
        <v>16522.790299999997</v>
      </c>
      <c r="R9" s="44">
        <v>3893.6183999999976</v>
      </c>
      <c r="S9" s="44">
        <v>97159.828800000076</v>
      </c>
      <c r="T9" s="44">
        <v>23201.151200000004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62533.788369374997</v>
      </c>
      <c r="AB9" s="44">
        <v>0</v>
      </c>
      <c r="AC9" s="44">
        <v>169344.82947319458</v>
      </c>
      <c r="AD9" s="44">
        <v>0</v>
      </c>
      <c r="AE9" s="44">
        <v>14855.159231999984</v>
      </c>
      <c r="AF9" s="44">
        <v>0</v>
      </c>
      <c r="AG9" s="44">
        <v>138243.54</v>
      </c>
      <c r="AH9" s="44">
        <v>0</v>
      </c>
      <c r="AI9" s="44">
        <v>0</v>
      </c>
      <c r="AJ9" s="44">
        <v>0</v>
      </c>
      <c r="AK9" s="44">
        <v>34184.793599999997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S9" s="44">
        <v>0</v>
      </c>
      <c r="AT9" s="44">
        <v>1404779.5218</v>
      </c>
      <c r="AU9" s="44">
        <v>620777.06177456956</v>
      </c>
      <c r="AV9" s="44">
        <v>172428.33360000001</v>
      </c>
      <c r="AW9" s="44">
        <v>426605.44791319454</v>
      </c>
      <c r="AX9" s="62">
        <v>2197984.9171745693</v>
      </c>
      <c r="AY9" s="62">
        <v>2163800.1235745694</v>
      </c>
      <c r="AZ9" s="62">
        <v>4610</v>
      </c>
      <c r="BA9" s="62">
        <v>1811730</v>
      </c>
      <c r="BB9" s="62">
        <v>0</v>
      </c>
      <c r="BC9" s="62">
        <v>0</v>
      </c>
      <c r="BD9" s="62">
        <v>2197984.9171745693</v>
      </c>
      <c r="BE9" s="44">
        <v>2197984.9171745693</v>
      </c>
      <c r="BF9" s="44">
        <v>0</v>
      </c>
      <c r="BG9" s="62">
        <v>1845914.7936</v>
      </c>
      <c r="BH9" s="62">
        <v>1673486.46</v>
      </c>
      <c r="BI9" s="44">
        <v>2025556.5835745693</v>
      </c>
      <c r="BJ9" s="44">
        <v>5154.0879989174791</v>
      </c>
      <c r="BK9" s="44">
        <v>5039.5133795969768</v>
      </c>
      <c r="BL9" s="45">
        <v>2.2735254515717767E-2</v>
      </c>
      <c r="BM9" s="45">
        <v>0</v>
      </c>
      <c r="BN9" s="44">
        <v>0</v>
      </c>
      <c r="BO9" s="62">
        <v>2197984.9171745693</v>
      </c>
      <c r="BP9" s="62">
        <v>5505.8527317419066</v>
      </c>
      <c r="BQ9" s="62" t="s">
        <v>92</v>
      </c>
      <c r="BR9" s="62">
        <v>5592.8369393754947</v>
      </c>
      <c r="BS9" s="53">
        <v>2.2207246820691307E-2</v>
      </c>
      <c r="BT9" s="44">
        <v>-9852.51</v>
      </c>
      <c r="BU9" s="44">
        <v>2188132.4071745696</v>
      </c>
      <c r="BV9" s="44">
        <v>0</v>
      </c>
      <c r="BW9" s="44">
        <v>2188132.4071745696</v>
      </c>
      <c r="BX9" s="44">
        <v>34184.793599999997</v>
      </c>
      <c r="BY9" s="44">
        <v>2153947.6135745696</v>
      </c>
    </row>
    <row r="10" spans="1:81">
      <c r="A10">
        <v>2015</v>
      </c>
      <c r="B10" s="60">
        <v>134102</v>
      </c>
      <c r="C10" s="60">
        <v>3302015</v>
      </c>
      <c r="D10" s="61" t="s">
        <v>312</v>
      </c>
      <c r="E10" s="52">
        <v>410</v>
      </c>
      <c r="F10" s="52">
        <v>410</v>
      </c>
      <c r="G10" s="52">
        <v>0</v>
      </c>
      <c r="H10" s="44">
        <v>1465546.0659999999</v>
      </c>
      <c r="I10" s="44">
        <v>0</v>
      </c>
      <c r="J10" s="44">
        <v>0</v>
      </c>
      <c r="K10" s="44">
        <v>94901.940699999963</v>
      </c>
      <c r="L10" s="44">
        <v>0</v>
      </c>
      <c r="M10" s="44">
        <v>161284.12720000005</v>
      </c>
      <c r="N10" s="44">
        <v>0</v>
      </c>
      <c r="O10" s="44">
        <v>2122.4231999999979</v>
      </c>
      <c r="P10" s="44">
        <v>3718.0038999999956</v>
      </c>
      <c r="Q10" s="44">
        <v>64304.9136</v>
      </c>
      <c r="R10" s="44">
        <v>18981.3897</v>
      </c>
      <c r="S10" s="44">
        <v>51680.759999999944</v>
      </c>
      <c r="T10" s="44">
        <v>66873.906399999876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108040.43070985911</v>
      </c>
      <c r="AB10" s="44">
        <v>0</v>
      </c>
      <c r="AC10" s="44">
        <v>209112.88358737374</v>
      </c>
      <c r="AD10" s="44">
        <v>0</v>
      </c>
      <c r="AE10" s="44">
        <v>385.34784000001679</v>
      </c>
      <c r="AF10" s="44">
        <v>0</v>
      </c>
      <c r="AG10" s="44">
        <v>138243.54</v>
      </c>
      <c r="AH10" s="44">
        <v>0</v>
      </c>
      <c r="AI10" s="44">
        <v>0</v>
      </c>
      <c r="AJ10" s="44">
        <v>0</v>
      </c>
      <c r="AK10" s="44">
        <v>41332.097500000003</v>
      </c>
      <c r="AL10" s="44">
        <v>0</v>
      </c>
      <c r="AM10" s="44">
        <v>0</v>
      </c>
      <c r="AN10" s="44">
        <v>0</v>
      </c>
      <c r="AO10" s="44">
        <v>0</v>
      </c>
      <c r="AP10" s="44">
        <v>0</v>
      </c>
      <c r="AQ10" s="44">
        <v>0</v>
      </c>
      <c r="AR10" s="44">
        <v>0</v>
      </c>
      <c r="AS10" s="44">
        <v>0</v>
      </c>
      <c r="AT10" s="44">
        <v>1465546.0659999999</v>
      </c>
      <c r="AU10" s="44">
        <v>781406.12683723273</v>
      </c>
      <c r="AV10" s="44">
        <v>179575.63750000001</v>
      </c>
      <c r="AW10" s="44">
        <v>514323.91923737363</v>
      </c>
      <c r="AX10" s="62">
        <v>2426527.8303372329</v>
      </c>
      <c r="AY10" s="62">
        <v>2385195.7328372328</v>
      </c>
      <c r="AZ10" s="62">
        <v>4610</v>
      </c>
      <c r="BA10" s="62">
        <v>1890100</v>
      </c>
      <c r="BB10" s="62">
        <v>0</v>
      </c>
      <c r="BC10" s="62">
        <v>0</v>
      </c>
      <c r="BD10" s="62">
        <v>2426527.8303372329</v>
      </c>
      <c r="BE10" s="44">
        <v>2426527.8303372329</v>
      </c>
      <c r="BF10" s="44">
        <v>0</v>
      </c>
      <c r="BG10" s="62">
        <v>1931432.0974999999</v>
      </c>
      <c r="BH10" s="62">
        <v>1751856.46</v>
      </c>
      <c r="BI10" s="44">
        <v>2246952.1928372327</v>
      </c>
      <c r="BJ10" s="44">
        <v>5480.3712020420307</v>
      </c>
      <c r="BK10" s="44">
        <v>5367.3681046913571</v>
      </c>
      <c r="BL10" s="45">
        <v>2.10537259875847E-2</v>
      </c>
      <c r="BM10" s="45">
        <v>0</v>
      </c>
      <c r="BN10" s="44">
        <v>0</v>
      </c>
      <c r="BO10" s="62">
        <v>2426527.8303372329</v>
      </c>
      <c r="BP10" s="62">
        <v>5817.5505678956897</v>
      </c>
      <c r="BQ10" s="62" t="s">
        <v>92</v>
      </c>
      <c r="BR10" s="62">
        <v>5918.3605617981293</v>
      </c>
      <c r="BS10" s="53">
        <v>1.9037919915805501E-2</v>
      </c>
      <c r="BT10" s="44">
        <v>-10278.700000000001</v>
      </c>
      <c r="BU10" s="44">
        <v>2416249.1303372327</v>
      </c>
      <c r="BV10" s="44">
        <v>0</v>
      </c>
      <c r="BW10" s="44">
        <v>2416249.1303372327</v>
      </c>
      <c r="BX10" s="44">
        <v>41332.097500000003</v>
      </c>
      <c r="BY10" s="44">
        <v>2374917.0328372326</v>
      </c>
    </row>
    <row r="11" spans="1:81">
      <c r="A11">
        <v>2016</v>
      </c>
      <c r="B11" s="60">
        <v>103163</v>
      </c>
      <c r="C11" s="60">
        <v>3302016</v>
      </c>
      <c r="D11" s="61" t="s">
        <v>596</v>
      </c>
      <c r="E11" s="52">
        <v>361</v>
      </c>
      <c r="F11" s="52">
        <v>361</v>
      </c>
      <c r="G11" s="52">
        <v>0</v>
      </c>
      <c r="H11" s="44">
        <v>1290395.4386</v>
      </c>
      <c r="I11" s="44">
        <v>0</v>
      </c>
      <c r="J11" s="44">
        <v>0</v>
      </c>
      <c r="K11" s="44">
        <v>71791.105400000015</v>
      </c>
      <c r="L11" s="44">
        <v>0</v>
      </c>
      <c r="M11" s="44">
        <v>120963.09540000001</v>
      </c>
      <c r="N11" s="44">
        <v>0</v>
      </c>
      <c r="O11" s="44">
        <v>20045.107999999971</v>
      </c>
      <c r="P11" s="44">
        <v>11440.012000000001</v>
      </c>
      <c r="Q11" s="44">
        <v>3125.9332999999965</v>
      </c>
      <c r="R11" s="44">
        <v>2920.2138000000095</v>
      </c>
      <c r="S11" s="44">
        <v>7235.3063999999913</v>
      </c>
      <c r="T11" s="44">
        <v>1364.7736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14884.233628133696</v>
      </c>
      <c r="AB11" s="44">
        <v>0</v>
      </c>
      <c r="AC11" s="44">
        <v>145387.2799982804</v>
      </c>
      <c r="AD11" s="44">
        <v>0</v>
      </c>
      <c r="AE11" s="44">
        <v>0</v>
      </c>
      <c r="AF11" s="44">
        <v>0</v>
      </c>
      <c r="AG11" s="44">
        <v>138243.54</v>
      </c>
      <c r="AH11" s="44">
        <v>0</v>
      </c>
      <c r="AI11" s="44">
        <v>0</v>
      </c>
      <c r="AJ11" s="44">
        <v>0</v>
      </c>
      <c r="AK11" s="44">
        <v>42611.738599999997</v>
      </c>
      <c r="AL11" s="44">
        <v>256064.1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S11" s="44">
        <v>0</v>
      </c>
      <c r="AT11" s="44">
        <v>1290395.4386</v>
      </c>
      <c r="AU11" s="44">
        <v>399157.06152641407</v>
      </c>
      <c r="AV11" s="44">
        <v>436919.37860000005</v>
      </c>
      <c r="AW11" s="44">
        <v>329349.82587828039</v>
      </c>
      <c r="AX11" s="62">
        <v>2126471.8787264139</v>
      </c>
      <c r="AY11" s="62">
        <v>1827796.0401264138</v>
      </c>
      <c r="AZ11" s="62">
        <v>4610</v>
      </c>
      <c r="BA11" s="62">
        <v>1664210</v>
      </c>
      <c r="BB11" s="62">
        <v>0</v>
      </c>
      <c r="BC11" s="62">
        <v>0</v>
      </c>
      <c r="BD11" s="62">
        <v>2126471.8787264139</v>
      </c>
      <c r="BE11" s="44">
        <v>2126471.8787264139</v>
      </c>
      <c r="BF11" s="44">
        <v>0</v>
      </c>
      <c r="BG11" s="62">
        <v>1962885.8386000001</v>
      </c>
      <c r="BH11" s="62">
        <v>1782030.56</v>
      </c>
      <c r="BI11" s="44">
        <v>1945616.6001264139</v>
      </c>
      <c r="BJ11" s="44">
        <v>5389.5196679402043</v>
      </c>
      <c r="BK11" s="44">
        <v>5222.9057406077345</v>
      </c>
      <c r="BL11" s="45">
        <v>3.1900619235200413E-2</v>
      </c>
      <c r="BM11" s="45">
        <v>0</v>
      </c>
      <c r="BN11" s="44">
        <v>0</v>
      </c>
      <c r="BO11" s="62">
        <v>2126471.8787264139</v>
      </c>
      <c r="BP11" s="62">
        <v>5063.1469255579332</v>
      </c>
      <c r="BQ11" s="62" t="s">
        <v>92</v>
      </c>
      <c r="BR11" s="62">
        <v>5890.5038191867425</v>
      </c>
      <c r="BS11" s="53">
        <v>2.9974478798580062E-2</v>
      </c>
      <c r="BT11" s="44">
        <v>-9050.27</v>
      </c>
      <c r="BU11" s="44">
        <v>2117421.6087264139</v>
      </c>
      <c r="BV11" s="44">
        <v>0</v>
      </c>
      <c r="BW11" s="44">
        <v>2117421.6087264139</v>
      </c>
      <c r="BX11" s="44">
        <v>42611.738599999997</v>
      </c>
      <c r="BY11" s="44">
        <v>2074809.8701264139</v>
      </c>
    </row>
    <row r="12" spans="1:81">
      <c r="A12">
        <v>2017</v>
      </c>
      <c r="B12" s="60">
        <v>103164</v>
      </c>
      <c r="C12" s="60">
        <v>3302017</v>
      </c>
      <c r="D12" s="61" t="s">
        <v>593</v>
      </c>
      <c r="E12" s="52">
        <v>264</v>
      </c>
      <c r="F12" s="52">
        <v>264</v>
      </c>
      <c r="G12" s="52">
        <v>0</v>
      </c>
      <c r="H12" s="44">
        <v>943668.68640000001</v>
      </c>
      <c r="I12" s="44">
        <v>0</v>
      </c>
      <c r="J12" s="44">
        <v>0</v>
      </c>
      <c r="K12" s="44">
        <v>45238.23080000007</v>
      </c>
      <c r="L12" s="44">
        <v>0</v>
      </c>
      <c r="M12" s="44">
        <v>75704.794400000115</v>
      </c>
      <c r="N12" s="44">
        <v>0</v>
      </c>
      <c r="O12" s="44">
        <v>18630.159199999984</v>
      </c>
      <c r="P12" s="44">
        <v>7150.0074999999997</v>
      </c>
      <c r="Q12" s="44">
        <v>4465.6190000000024</v>
      </c>
      <c r="R12" s="44">
        <v>486.70230000000032</v>
      </c>
      <c r="S12" s="44">
        <v>4651.2684000000017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26949.434068965478</v>
      </c>
      <c r="AB12" s="44">
        <v>0</v>
      </c>
      <c r="AC12" s="44">
        <v>121447.94917894743</v>
      </c>
      <c r="AD12" s="44">
        <v>0</v>
      </c>
      <c r="AE12" s="44">
        <v>0</v>
      </c>
      <c r="AF12" s="44">
        <v>0</v>
      </c>
      <c r="AG12" s="44">
        <v>138243.54</v>
      </c>
      <c r="AH12" s="44">
        <v>0</v>
      </c>
      <c r="AI12" s="44">
        <v>0</v>
      </c>
      <c r="AJ12" s="44">
        <v>0</v>
      </c>
      <c r="AK12" s="44">
        <v>28407.832600000002</v>
      </c>
      <c r="AL12" s="44">
        <v>256385.13</v>
      </c>
      <c r="AM12" s="44">
        <v>0</v>
      </c>
      <c r="AN12" s="44">
        <v>0</v>
      </c>
      <c r="AO12" s="44">
        <v>0</v>
      </c>
      <c r="AP12" s="44">
        <v>0</v>
      </c>
      <c r="AQ12" s="44">
        <v>0</v>
      </c>
      <c r="AR12" s="44">
        <v>0</v>
      </c>
      <c r="AS12" s="44">
        <v>0</v>
      </c>
      <c r="AT12" s="44">
        <v>943668.68640000001</v>
      </c>
      <c r="AU12" s="44">
        <v>304724.16484791308</v>
      </c>
      <c r="AV12" s="44">
        <v>423036.50260000001</v>
      </c>
      <c r="AW12" s="44">
        <v>246794.77429894754</v>
      </c>
      <c r="AX12" s="62">
        <v>1671429.3538479132</v>
      </c>
      <c r="AY12" s="62">
        <v>1386636.3912479132</v>
      </c>
      <c r="AZ12" s="62">
        <v>4610</v>
      </c>
      <c r="BA12" s="62">
        <v>1217040</v>
      </c>
      <c r="BB12" s="62">
        <v>0</v>
      </c>
      <c r="BC12" s="62">
        <v>0</v>
      </c>
      <c r="BD12" s="62">
        <v>1671429.3538479132</v>
      </c>
      <c r="BE12" s="44">
        <v>1671429.3538479127</v>
      </c>
      <c r="BF12" s="44">
        <v>0</v>
      </c>
      <c r="BG12" s="62">
        <v>1501832.9626000002</v>
      </c>
      <c r="BH12" s="62">
        <v>1335181.5900000001</v>
      </c>
      <c r="BI12" s="44">
        <v>1504777.9812479131</v>
      </c>
      <c r="BJ12" s="44">
        <v>5699.9165956360348</v>
      </c>
      <c r="BK12" s="44">
        <v>5436.8567999999996</v>
      </c>
      <c r="BL12" s="45">
        <v>4.8384536380659364E-2</v>
      </c>
      <c r="BM12" s="45">
        <v>0</v>
      </c>
      <c r="BN12" s="44">
        <v>0</v>
      </c>
      <c r="BO12" s="62">
        <v>1671429.3538479132</v>
      </c>
      <c r="BP12" s="62">
        <v>5252.4105729087623</v>
      </c>
      <c r="BQ12" s="62" t="s">
        <v>92</v>
      </c>
      <c r="BR12" s="62">
        <v>6331.171794878459</v>
      </c>
      <c r="BS12" s="53">
        <v>4.5506430844815426E-2</v>
      </c>
      <c r="BT12" s="44">
        <v>-6618.4800000000005</v>
      </c>
      <c r="BU12" s="44">
        <v>1664810.8738479132</v>
      </c>
      <c r="BV12" s="44">
        <v>0</v>
      </c>
      <c r="BW12" s="44">
        <v>1664810.8738479132</v>
      </c>
      <c r="BX12" s="44">
        <v>28407.832600000002</v>
      </c>
      <c r="BY12" s="44">
        <v>1636403.0412479131</v>
      </c>
    </row>
    <row r="13" spans="1:81">
      <c r="A13">
        <v>2019</v>
      </c>
      <c r="B13" s="60">
        <v>134279</v>
      </c>
      <c r="C13" s="60">
        <v>3302019</v>
      </c>
      <c r="D13" s="61" t="s">
        <v>846</v>
      </c>
      <c r="E13" s="52">
        <v>405</v>
      </c>
      <c r="F13" s="52">
        <v>405</v>
      </c>
      <c r="G13" s="52">
        <v>0</v>
      </c>
      <c r="H13" s="44">
        <v>1447673.5529999998</v>
      </c>
      <c r="I13" s="44">
        <v>0</v>
      </c>
      <c r="J13" s="44">
        <v>0</v>
      </c>
      <c r="K13" s="44">
        <v>93918.500900000014</v>
      </c>
      <c r="L13" s="44">
        <v>0</v>
      </c>
      <c r="M13" s="44">
        <v>163752.76179999998</v>
      </c>
      <c r="N13" s="44">
        <v>0</v>
      </c>
      <c r="O13" s="44">
        <v>1895.9611712158835</v>
      </c>
      <c r="P13" s="44">
        <v>7472.9110645161336</v>
      </c>
      <c r="Q13" s="44">
        <v>19746.235875930528</v>
      </c>
      <c r="R13" s="44">
        <v>37172.944898263093</v>
      </c>
      <c r="S13" s="44">
        <v>66479.667454094335</v>
      </c>
      <c r="T13" s="44">
        <v>11658.146694789077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16632.743202312144</v>
      </c>
      <c r="AB13" s="44">
        <v>0</v>
      </c>
      <c r="AC13" s="44">
        <v>146662.12787343518</v>
      </c>
      <c r="AD13" s="44">
        <v>0</v>
      </c>
      <c r="AE13" s="44">
        <v>0</v>
      </c>
      <c r="AF13" s="44">
        <v>0</v>
      </c>
      <c r="AG13" s="44">
        <v>138243.54</v>
      </c>
      <c r="AH13" s="44">
        <v>0</v>
      </c>
      <c r="AI13" s="44">
        <v>0</v>
      </c>
      <c r="AJ13" s="44">
        <v>0</v>
      </c>
      <c r="AK13" s="44">
        <v>57582.767999999996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S13" s="44">
        <v>0</v>
      </c>
      <c r="AT13" s="44">
        <v>1447673.5529999998</v>
      </c>
      <c r="AU13" s="44">
        <v>565392.00093455636</v>
      </c>
      <c r="AV13" s="44">
        <v>195826.30800000002</v>
      </c>
      <c r="AW13" s="44">
        <v>420094.37045283965</v>
      </c>
      <c r="AX13" s="62">
        <v>2208891.8619345562</v>
      </c>
      <c r="AY13" s="62">
        <v>2151309.093934556</v>
      </c>
      <c r="AZ13" s="62">
        <v>4610</v>
      </c>
      <c r="BA13" s="62">
        <v>1867050</v>
      </c>
      <c r="BB13" s="62">
        <v>0</v>
      </c>
      <c r="BC13" s="62">
        <v>0</v>
      </c>
      <c r="BD13" s="62">
        <v>2208891.8619345562</v>
      </c>
      <c r="BE13" s="44">
        <v>2208891.8619345566</v>
      </c>
      <c r="BF13" s="44">
        <v>0</v>
      </c>
      <c r="BG13" s="62">
        <v>1924632.7679999999</v>
      </c>
      <c r="BH13" s="62">
        <v>1728806.46</v>
      </c>
      <c r="BI13" s="44">
        <v>2013065.5539345562</v>
      </c>
      <c r="BJ13" s="44">
        <v>4970.5322319371762</v>
      </c>
      <c r="BK13" s="44">
        <v>4955.1639379310336</v>
      </c>
      <c r="BL13" s="45">
        <v>3.1014703446036627E-3</v>
      </c>
      <c r="BM13" s="45">
        <v>1.8985296553963374E-3</v>
      </c>
      <c r="BN13" s="44">
        <v>3810.0479018225883</v>
      </c>
      <c r="BO13" s="62">
        <v>2212701.9098363789</v>
      </c>
      <c r="BP13" s="62">
        <v>5321.2818316947623</v>
      </c>
      <c r="BQ13" s="62" t="s">
        <v>92</v>
      </c>
      <c r="BR13" s="62">
        <v>5463.461505768837</v>
      </c>
      <c r="BS13" s="53">
        <v>5.5394258112495542E-3</v>
      </c>
      <c r="BT13" s="44">
        <v>-10153.35</v>
      </c>
      <c r="BU13" s="44">
        <v>2202548.5598363788</v>
      </c>
      <c r="BV13" s="44">
        <v>0</v>
      </c>
      <c r="BW13" s="44">
        <v>2202548.5598363788</v>
      </c>
      <c r="BX13" s="44">
        <v>57582.767999999996</v>
      </c>
      <c r="BY13" s="44">
        <v>2144965.7918363786</v>
      </c>
    </row>
    <row r="14" spans="1:81">
      <c r="A14">
        <v>0</v>
      </c>
      <c r="B14" s="60">
        <v>134281</v>
      </c>
      <c r="C14" s="60">
        <v>3302021</v>
      </c>
      <c r="D14" s="61" t="s">
        <v>865</v>
      </c>
      <c r="E14" s="52">
        <v>402</v>
      </c>
      <c r="F14" s="52">
        <v>402</v>
      </c>
      <c r="G14" s="52">
        <v>0</v>
      </c>
      <c r="H14" s="44">
        <v>1436950.0451999998</v>
      </c>
      <c r="I14" s="44">
        <v>0</v>
      </c>
      <c r="J14" s="44">
        <v>0</v>
      </c>
      <c r="K14" s="44">
        <v>101294.29940000006</v>
      </c>
      <c r="L14" s="44">
        <v>0</v>
      </c>
      <c r="M14" s="44">
        <v>171158.66559999995</v>
      </c>
      <c r="N14" s="44">
        <v>0</v>
      </c>
      <c r="O14" s="44">
        <v>3782.6062683291771</v>
      </c>
      <c r="P14" s="44">
        <v>6881.1244249376541</v>
      </c>
      <c r="Q14" s="44">
        <v>4029.0796862842867</v>
      </c>
      <c r="R14" s="44">
        <v>54646.59440199496</v>
      </c>
      <c r="S14" s="44">
        <v>50773.446906733072</v>
      </c>
      <c r="T14" s="44">
        <v>51990.726966583439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62883.984850568086</v>
      </c>
      <c r="AB14" s="44">
        <v>0</v>
      </c>
      <c r="AC14" s="44">
        <v>196604.76503354305</v>
      </c>
      <c r="AD14" s="44">
        <v>0</v>
      </c>
      <c r="AE14" s="44">
        <v>54796.462848000061</v>
      </c>
      <c r="AF14" s="44">
        <v>0</v>
      </c>
      <c r="AG14" s="44">
        <v>138243.54</v>
      </c>
      <c r="AH14" s="44">
        <v>0</v>
      </c>
      <c r="AI14" s="44">
        <v>0</v>
      </c>
      <c r="AJ14" s="44">
        <v>0</v>
      </c>
      <c r="AK14" s="44">
        <v>29944.819200000002</v>
      </c>
      <c r="AL14" s="44">
        <v>0</v>
      </c>
      <c r="AM14" s="44">
        <v>0</v>
      </c>
      <c r="AN14" s="44">
        <v>0</v>
      </c>
      <c r="AO14" s="44">
        <v>0</v>
      </c>
      <c r="AP14" s="44">
        <v>0</v>
      </c>
      <c r="AQ14" s="44">
        <v>0</v>
      </c>
      <c r="AR14" s="44">
        <v>0</v>
      </c>
      <c r="AS14" s="44">
        <v>0</v>
      </c>
      <c r="AT14" s="44">
        <v>1436950.0451999998</v>
      </c>
      <c r="AU14" s="44">
        <v>758841.75638697401</v>
      </c>
      <c r="AV14" s="44">
        <v>168188.35920000001</v>
      </c>
      <c r="AW14" s="44">
        <v>490730.53912097431</v>
      </c>
      <c r="AX14" s="62">
        <v>2363980.1607869738</v>
      </c>
      <c r="AY14" s="62">
        <v>2334035.341586974</v>
      </c>
      <c r="AZ14" s="62">
        <v>4610</v>
      </c>
      <c r="BA14" s="62">
        <v>1853220</v>
      </c>
      <c r="BB14" s="62">
        <v>0</v>
      </c>
      <c r="BC14" s="62">
        <v>0</v>
      </c>
      <c r="BD14" s="62">
        <v>2363980.1607869738</v>
      </c>
      <c r="BE14" s="44">
        <v>2363980.1607869733</v>
      </c>
      <c r="BF14" s="44">
        <v>0</v>
      </c>
      <c r="BG14" s="62">
        <v>1883164.8192</v>
      </c>
      <c r="BH14" s="62">
        <v>1714976.46</v>
      </c>
      <c r="BI14" s="44">
        <v>2195791.8015869739</v>
      </c>
      <c r="BJ14" s="44">
        <v>5462.1686606641142</v>
      </c>
      <c r="BK14" s="44">
        <v>5426.8633897574118</v>
      </c>
      <c r="BL14" s="45">
        <v>6.5056494647234122E-3</v>
      </c>
      <c r="BM14" s="45">
        <v>0</v>
      </c>
      <c r="BN14" s="44">
        <v>0</v>
      </c>
      <c r="BO14" s="62">
        <v>2363980.1607869738</v>
      </c>
      <c r="BP14" s="62">
        <v>5806.0580636491886</v>
      </c>
      <c r="BQ14" s="62" t="s">
        <v>92</v>
      </c>
      <c r="BR14" s="62">
        <v>5880.5476636491885</v>
      </c>
      <c r="BS14" s="53">
        <v>4.5888643346758684E-4</v>
      </c>
      <c r="BT14" s="44">
        <v>-10078.14</v>
      </c>
      <c r="BU14" s="44">
        <v>2353902.0207869736</v>
      </c>
      <c r="BV14" s="44">
        <v>0</v>
      </c>
      <c r="BW14" s="44">
        <v>2353902.0207869736</v>
      </c>
      <c r="BX14" s="44">
        <v>29944.819200000002</v>
      </c>
      <c r="BY14" s="44">
        <v>2323957.2015869739</v>
      </c>
    </row>
    <row r="15" spans="1:81">
      <c r="A15">
        <v>2030</v>
      </c>
      <c r="B15" s="60">
        <v>103172</v>
      </c>
      <c r="C15" s="60">
        <v>3302030</v>
      </c>
      <c r="D15" s="61" t="s">
        <v>254</v>
      </c>
      <c r="E15" s="52">
        <v>627</v>
      </c>
      <c r="F15" s="52">
        <v>627</v>
      </c>
      <c r="G15" s="52">
        <v>0</v>
      </c>
      <c r="H15" s="44">
        <v>2241213.1302</v>
      </c>
      <c r="I15" s="44">
        <v>0</v>
      </c>
      <c r="J15" s="44">
        <v>0</v>
      </c>
      <c r="K15" s="44">
        <v>128830.61379999983</v>
      </c>
      <c r="L15" s="44">
        <v>0</v>
      </c>
      <c r="M15" s="44">
        <v>218062.72300000009</v>
      </c>
      <c r="N15" s="44">
        <v>0</v>
      </c>
      <c r="O15" s="44">
        <v>22403.356000000073</v>
      </c>
      <c r="P15" s="44">
        <v>4576.0048000000006</v>
      </c>
      <c r="Q15" s="44">
        <v>122804.52249999995</v>
      </c>
      <c r="R15" s="44">
        <v>93446.841600000029</v>
      </c>
      <c r="S15" s="44">
        <v>16537.843200000003</v>
      </c>
      <c r="T15" s="44">
        <v>4776.7076000000179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185959.87747988835</v>
      </c>
      <c r="AB15" s="44">
        <v>0</v>
      </c>
      <c r="AC15" s="44">
        <v>271098.25288501324</v>
      </c>
      <c r="AD15" s="44">
        <v>0</v>
      </c>
      <c r="AE15" s="44">
        <v>20596.842048000017</v>
      </c>
      <c r="AF15" s="44">
        <v>0</v>
      </c>
      <c r="AG15" s="44">
        <v>138243.54</v>
      </c>
      <c r="AH15" s="44">
        <v>0</v>
      </c>
      <c r="AI15" s="44">
        <v>0</v>
      </c>
      <c r="AJ15" s="44">
        <v>0</v>
      </c>
      <c r="AK15" s="44">
        <v>33389.7984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0</v>
      </c>
      <c r="AT15" s="44">
        <v>2241213.1302</v>
      </c>
      <c r="AU15" s="44">
        <v>1089093.5849129017</v>
      </c>
      <c r="AV15" s="44">
        <v>171633.33840000001</v>
      </c>
      <c r="AW15" s="44">
        <v>688878.21564501314</v>
      </c>
      <c r="AX15" s="62">
        <v>3501940.053512902</v>
      </c>
      <c r="AY15" s="62">
        <v>3468550.2551129018</v>
      </c>
      <c r="AZ15" s="62">
        <v>4610</v>
      </c>
      <c r="BA15" s="62">
        <v>2890470</v>
      </c>
      <c r="BB15" s="62">
        <v>0</v>
      </c>
      <c r="BC15" s="62">
        <v>0</v>
      </c>
      <c r="BD15" s="62">
        <v>3501940.053512902</v>
      </c>
      <c r="BE15" s="44">
        <v>3501940.053512902</v>
      </c>
      <c r="BF15" s="44">
        <v>0</v>
      </c>
      <c r="BG15" s="62">
        <v>2923859.7984000002</v>
      </c>
      <c r="BH15" s="62">
        <v>2752226.46</v>
      </c>
      <c r="BI15" s="44">
        <v>3330306.7151129018</v>
      </c>
      <c r="BJ15" s="44">
        <v>5311.4939634974507</v>
      </c>
      <c r="BK15" s="44">
        <v>5181.8508432739063</v>
      </c>
      <c r="BL15" s="45">
        <v>2.5018690067434589E-2</v>
      </c>
      <c r="BM15" s="45">
        <v>0</v>
      </c>
      <c r="BN15" s="44">
        <v>0</v>
      </c>
      <c r="BO15" s="62">
        <v>3501940.053512902</v>
      </c>
      <c r="BP15" s="62">
        <v>5531.9780783299866</v>
      </c>
      <c r="BQ15" s="62" t="s">
        <v>92</v>
      </c>
      <c r="BR15" s="62">
        <v>5585.231345315633</v>
      </c>
      <c r="BS15" s="53">
        <v>2.3226881446906544E-2</v>
      </c>
      <c r="BT15" s="44">
        <v>-15718.89</v>
      </c>
      <c r="BU15" s="44">
        <v>3486221.1635129019</v>
      </c>
      <c r="BV15" s="44">
        <v>0</v>
      </c>
      <c r="BW15" s="44">
        <v>3486221.1635129019</v>
      </c>
      <c r="BX15" s="44">
        <v>33389.7984</v>
      </c>
      <c r="BY15" s="44">
        <v>3452831.3651129017</v>
      </c>
    </row>
    <row r="16" spans="1:81">
      <c r="A16">
        <v>2040</v>
      </c>
      <c r="B16" s="60">
        <v>103178</v>
      </c>
      <c r="C16" s="60">
        <v>3302040</v>
      </c>
      <c r="D16" s="61" t="s">
        <v>437</v>
      </c>
      <c r="E16" s="52">
        <v>431</v>
      </c>
      <c r="F16" s="52">
        <v>431</v>
      </c>
      <c r="G16" s="52">
        <v>0</v>
      </c>
      <c r="H16" s="44">
        <v>1540610.6206</v>
      </c>
      <c r="I16" s="44">
        <v>0</v>
      </c>
      <c r="J16" s="44">
        <v>0</v>
      </c>
      <c r="K16" s="44">
        <v>48680.270100000082</v>
      </c>
      <c r="L16" s="44">
        <v>0</v>
      </c>
      <c r="M16" s="44">
        <v>83110.698200000013</v>
      </c>
      <c r="N16" s="44">
        <v>0</v>
      </c>
      <c r="O16" s="44">
        <v>16036.086400000024</v>
      </c>
      <c r="P16" s="44">
        <v>11154.011699999995</v>
      </c>
      <c r="Q16" s="44">
        <v>4465.6190000000033</v>
      </c>
      <c r="R16" s="44">
        <v>7787.2367999999979</v>
      </c>
      <c r="S16" s="44">
        <v>17054.650799999999</v>
      </c>
      <c r="T16" s="44">
        <v>682.38680000000056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34671.543192934711</v>
      </c>
      <c r="AB16" s="44">
        <v>0</v>
      </c>
      <c r="AC16" s="44">
        <v>222790.39513725831</v>
      </c>
      <c r="AD16" s="44">
        <v>0</v>
      </c>
      <c r="AE16" s="44">
        <v>0</v>
      </c>
      <c r="AF16" s="44">
        <v>0</v>
      </c>
      <c r="AG16" s="44">
        <v>138243.54</v>
      </c>
      <c r="AH16" s="44">
        <v>0</v>
      </c>
      <c r="AI16" s="44">
        <v>0</v>
      </c>
      <c r="AJ16" s="44">
        <v>0</v>
      </c>
      <c r="AK16" s="44">
        <v>30474.815999999999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0</v>
      </c>
      <c r="AS16" s="44">
        <v>0</v>
      </c>
      <c r="AT16" s="44">
        <v>1540610.6206</v>
      </c>
      <c r="AU16" s="44">
        <v>446432.89813019312</v>
      </c>
      <c r="AV16" s="44">
        <v>168718.356</v>
      </c>
      <c r="AW16" s="44">
        <v>394306.40606725833</v>
      </c>
      <c r="AX16" s="62">
        <v>2155761.8747301931</v>
      </c>
      <c r="AY16" s="62">
        <v>2125287.0587301929</v>
      </c>
      <c r="AZ16" s="62">
        <v>4610</v>
      </c>
      <c r="BA16" s="62">
        <v>1986910</v>
      </c>
      <c r="BB16" s="62">
        <v>0</v>
      </c>
      <c r="BC16" s="62">
        <v>0</v>
      </c>
      <c r="BD16" s="62">
        <v>2155761.8747301931</v>
      </c>
      <c r="BE16" s="44">
        <v>2155761.8747301931</v>
      </c>
      <c r="BF16" s="44">
        <v>0</v>
      </c>
      <c r="BG16" s="62">
        <v>2017384.8160000001</v>
      </c>
      <c r="BH16" s="62">
        <v>1848666.46</v>
      </c>
      <c r="BI16" s="44">
        <v>1987043.5187301929</v>
      </c>
      <c r="BJ16" s="44">
        <v>4610.3097882371067</v>
      </c>
      <c r="BK16" s="44">
        <v>4462.5400935926773</v>
      </c>
      <c r="BL16" s="45">
        <v>3.3113359554258648E-2</v>
      </c>
      <c r="BM16" s="45">
        <v>0</v>
      </c>
      <c r="BN16" s="44">
        <v>0</v>
      </c>
      <c r="BO16" s="62">
        <v>2155761.8747301931</v>
      </c>
      <c r="BP16" s="62">
        <v>4931.060461090935</v>
      </c>
      <c r="BQ16" s="62" t="s">
        <v>92</v>
      </c>
      <c r="BR16" s="62">
        <v>5001.767690789311</v>
      </c>
      <c r="BS16" s="53">
        <v>3.2017458126142539E-2</v>
      </c>
      <c r="BT16" s="44">
        <v>-10805.17</v>
      </c>
      <c r="BU16" s="44">
        <v>2144956.7047301931</v>
      </c>
      <c r="BV16" s="44">
        <v>0</v>
      </c>
      <c r="BW16" s="44">
        <v>2144956.7047301931</v>
      </c>
      <c r="BX16" s="44">
        <v>30474.815999999999</v>
      </c>
      <c r="BY16" s="44">
        <v>2114481.888730193</v>
      </c>
    </row>
    <row r="17" spans="1:77">
      <c r="A17">
        <v>2053</v>
      </c>
      <c r="B17" s="60">
        <v>103188</v>
      </c>
      <c r="C17" s="60">
        <v>3302053</v>
      </c>
      <c r="D17" s="61" t="s">
        <v>287</v>
      </c>
      <c r="E17" s="52">
        <v>479</v>
      </c>
      <c r="F17" s="52">
        <v>479</v>
      </c>
      <c r="G17" s="52">
        <v>0</v>
      </c>
      <c r="H17" s="44">
        <v>1712186.7453999999</v>
      </c>
      <c r="I17" s="44">
        <v>0</v>
      </c>
      <c r="J17" s="44">
        <v>0</v>
      </c>
      <c r="K17" s="44">
        <v>59989.827799999977</v>
      </c>
      <c r="L17" s="44">
        <v>0</v>
      </c>
      <c r="M17" s="44">
        <v>100391.14039999996</v>
      </c>
      <c r="N17" s="44">
        <v>0</v>
      </c>
      <c r="O17" s="44">
        <v>1179.1239999999998</v>
      </c>
      <c r="P17" s="44">
        <v>28314.029699999966</v>
      </c>
      <c r="Q17" s="44">
        <v>3125.9332999999901</v>
      </c>
      <c r="R17" s="44">
        <v>13140.962100000012</v>
      </c>
      <c r="S17" s="44">
        <v>33592.493999999919</v>
      </c>
      <c r="T17" s="44">
        <v>2047.1603999999993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18946.268799999987</v>
      </c>
      <c r="AB17" s="44">
        <v>0</v>
      </c>
      <c r="AC17" s="44">
        <v>139625.51525193173</v>
      </c>
      <c r="AD17" s="44">
        <v>0</v>
      </c>
      <c r="AE17" s="44">
        <v>0</v>
      </c>
      <c r="AF17" s="44">
        <v>0</v>
      </c>
      <c r="AG17" s="44">
        <v>138243.54</v>
      </c>
      <c r="AH17" s="44">
        <v>0</v>
      </c>
      <c r="AI17" s="44">
        <v>0</v>
      </c>
      <c r="AJ17" s="44">
        <v>0</v>
      </c>
      <c r="AK17" s="44">
        <v>20481.7251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S17" s="44">
        <v>0</v>
      </c>
      <c r="AT17" s="44">
        <v>1712186.7453999999</v>
      </c>
      <c r="AU17" s="44">
        <v>400352.45575193153</v>
      </c>
      <c r="AV17" s="44">
        <v>158725.26510000002</v>
      </c>
      <c r="AW17" s="44">
        <v>346125.18837193167</v>
      </c>
      <c r="AX17" s="62">
        <v>2271264.4662519316</v>
      </c>
      <c r="AY17" s="62">
        <v>2250782.7411519317</v>
      </c>
      <c r="AZ17" s="62">
        <v>4610</v>
      </c>
      <c r="BA17" s="62">
        <v>2208190</v>
      </c>
      <c r="BB17" s="62">
        <v>0</v>
      </c>
      <c r="BC17" s="62">
        <v>0</v>
      </c>
      <c r="BD17" s="62">
        <v>2271264.4662519316</v>
      </c>
      <c r="BE17" s="44">
        <v>2271264.4662519316</v>
      </c>
      <c r="BF17" s="44">
        <v>0</v>
      </c>
      <c r="BG17" s="62">
        <v>2228671.7250999999</v>
      </c>
      <c r="BH17" s="62">
        <v>2069946.46</v>
      </c>
      <c r="BI17" s="44">
        <v>2112539.2011519317</v>
      </c>
      <c r="BJ17" s="44">
        <v>4410.3114846595654</v>
      </c>
      <c r="BK17" s="44">
        <v>4328.2401035416669</v>
      </c>
      <c r="BL17" s="45">
        <v>1.8961836486553033E-2</v>
      </c>
      <c r="BM17" s="45">
        <v>0</v>
      </c>
      <c r="BN17" s="44">
        <v>0</v>
      </c>
      <c r="BO17" s="62">
        <v>2271264.4662519316</v>
      </c>
      <c r="BP17" s="62">
        <v>4698.9201276658277</v>
      </c>
      <c r="BQ17" s="62" t="s">
        <v>92</v>
      </c>
      <c r="BR17" s="62">
        <v>4741.6794702545549</v>
      </c>
      <c r="BS17" s="53">
        <v>1.8035727208776553E-2</v>
      </c>
      <c r="BT17" s="44">
        <v>-12008.53</v>
      </c>
      <c r="BU17" s="44">
        <v>2259255.9362519318</v>
      </c>
      <c r="BV17" s="44">
        <v>0</v>
      </c>
      <c r="BW17" s="44">
        <v>2259255.9362519318</v>
      </c>
      <c r="BX17" s="44">
        <v>20481.7251</v>
      </c>
      <c r="BY17" s="44">
        <v>2238774.2111519319</v>
      </c>
    </row>
    <row r="18" spans="1:77">
      <c r="A18">
        <v>2054</v>
      </c>
      <c r="B18" s="60">
        <v>103189</v>
      </c>
      <c r="C18" s="60">
        <v>3302054</v>
      </c>
      <c r="D18" s="61" t="s">
        <v>284</v>
      </c>
      <c r="E18" s="52">
        <v>359</v>
      </c>
      <c r="F18" s="52">
        <v>359</v>
      </c>
      <c r="G18" s="52">
        <v>0</v>
      </c>
      <c r="H18" s="44">
        <v>1283246.4334</v>
      </c>
      <c r="I18" s="44">
        <v>0</v>
      </c>
      <c r="J18" s="44">
        <v>0</v>
      </c>
      <c r="K18" s="44">
        <v>32453.513399999953</v>
      </c>
      <c r="L18" s="44">
        <v>0</v>
      </c>
      <c r="M18" s="44">
        <v>54309.961199999918</v>
      </c>
      <c r="N18" s="44">
        <v>0</v>
      </c>
      <c r="O18" s="44">
        <v>945.93411396648048</v>
      </c>
      <c r="P18" s="44">
        <v>14339.959175977679</v>
      </c>
      <c r="Q18" s="44">
        <v>5373.7113553072622</v>
      </c>
      <c r="R18" s="44">
        <v>9273.1742689944094</v>
      </c>
      <c r="S18" s="44">
        <v>26430.811029050241</v>
      </c>
      <c r="T18" s="44">
        <v>1368.5858167597767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53360.699523012663</v>
      </c>
      <c r="AB18" s="44">
        <v>0</v>
      </c>
      <c r="AC18" s="44">
        <v>135165.93756455689</v>
      </c>
      <c r="AD18" s="44">
        <v>0</v>
      </c>
      <c r="AE18" s="44">
        <v>0</v>
      </c>
      <c r="AF18" s="44">
        <v>0</v>
      </c>
      <c r="AG18" s="44">
        <v>138243.54</v>
      </c>
      <c r="AH18" s="44">
        <v>0</v>
      </c>
      <c r="AI18" s="44">
        <v>0</v>
      </c>
      <c r="AJ18" s="44">
        <v>0</v>
      </c>
      <c r="AK18" s="44">
        <v>14233.0653</v>
      </c>
      <c r="AL18" s="44">
        <v>0</v>
      </c>
      <c r="AM18" s="44">
        <v>0</v>
      </c>
      <c r="AN18" s="44">
        <v>0</v>
      </c>
      <c r="AO18" s="44">
        <v>0</v>
      </c>
      <c r="AP18" s="44">
        <v>0</v>
      </c>
      <c r="AQ18" s="44">
        <v>0</v>
      </c>
      <c r="AR18" s="44">
        <v>0</v>
      </c>
      <c r="AS18" s="44">
        <v>0</v>
      </c>
      <c r="AT18" s="44">
        <v>1283246.4334</v>
      </c>
      <c r="AU18" s="44">
        <v>333022.28744762531</v>
      </c>
      <c r="AV18" s="44">
        <v>152476.6053</v>
      </c>
      <c r="AW18" s="44">
        <v>271576.0844145848</v>
      </c>
      <c r="AX18" s="62">
        <v>1768745.3261476252</v>
      </c>
      <c r="AY18" s="62">
        <v>1754512.2608476253</v>
      </c>
      <c r="AZ18" s="62">
        <v>4610</v>
      </c>
      <c r="BA18" s="62">
        <v>1654990</v>
      </c>
      <c r="BB18" s="62">
        <v>0</v>
      </c>
      <c r="BC18" s="62">
        <v>0</v>
      </c>
      <c r="BD18" s="62">
        <v>1768745.3261476252</v>
      </c>
      <c r="BE18" s="44">
        <v>1768745.3261476257</v>
      </c>
      <c r="BF18" s="44">
        <v>0</v>
      </c>
      <c r="BG18" s="62">
        <v>1669223.0652999999</v>
      </c>
      <c r="BH18" s="62">
        <v>1516746.46</v>
      </c>
      <c r="BI18" s="44">
        <v>1616268.7208476253</v>
      </c>
      <c r="BJ18" s="44">
        <v>4502.1412836981208</v>
      </c>
      <c r="BK18" s="44">
        <v>4393.6332463888893</v>
      </c>
      <c r="BL18" s="45">
        <v>2.4696653367327324E-2</v>
      </c>
      <c r="BM18" s="45">
        <v>0</v>
      </c>
      <c r="BN18" s="44">
        <v>0</v>
      </c>
      <c r="BO18" s="62">
        <v>1768745.3261476252</v>
      </c>
      <c r="BP18" s="62">
        <v>4887.2207823053632</v>
      </c>
      <c r="BQ18" s="62" t="s">
        <v>92</v>
      </c>
      <c r="BR18" s="62">
        <v>4926.8672037538308</v>
      </c>
      <c r="BS18" s="53">
        <v>2.3014687196689421E-2</v>
      </c>
      <c r="BT18" s="44">
        <v>-9000.1299999999992</v>
      </c>
      <c r="BU18" s="44">
        <v>1759745.1961476253</v>
      </c>
      <c r="BV18" s="44">
        <v>0</v>
      </c>
      <c r="BW18" s="44">
        <v>1759745.1961476253</v>
      </c>
      <c r="BX18" s="44">
        <v>14233.0653</v>
      </c>
      <c r="BY18" s="44">
        <v>1745512.1308476254</v>
      </c>
    </row>
    <row r="19" spans="1:77">
      <c r="A19">
        <v>2055</v>
      </c>
      <c r="B19" s="60">
        <v>103190</v>
      </c>
      <c r="C19" s="60">
        <v>3302055</v>
      </c>
      <c r="D19" s="61" t="s">
        <v>290</v>
      </c>
      <c r="E19" s="52">
        <v>419</v>
      </c>
      <c r="F19" s="52">
        <v>419</v>
      </c>
      <c r="G19" s="52">
        <v>0</v>
      </c>
      <c r="H19" s="44">
        <v>1497716.5893999999</v>
      </c>
      <c r="I19" s="44">
        <v>0</v>
      </c>
      <c r="J19" s="44">
        <v>0</v>
      </c>
      <c r="K19" s="44">
        <v>53597.469099999973</v>
      </c>
      <c r="L19" s="44">
        <v>0</v>
      </c>
      <c r="M19" s="44">
        <v>92985.236599999975</v>
      </c>
      <c r="N19" s="44">
        <v>0</v>
      </c>
      <c r="O19" s="44">
        <v>2594.0728000000013</v>
      </c>
      <c r="P19" s="44">
        <v>28314.029700000021</v>
      </c>
      <c r="Q19" s="44">
        <v>10270.923699999998</v>
      </c>
      <c r="R19" s="44">
        <v>5840.4275999999954</v>
      </c>
      <c r="S19" s="44">
        <v>21705.919200000026</v>
      </c>
      <c r="T19" s="44">
        <v>19106.830400000006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18067.2839904762</v>
      </c>
      <c r="AB19" s="44">
        <v>0</v>
      </c>
      <c r="AC19" s="44">
        <v>123354.19477351624</v>
      </c>
      <c r="AD19" s="44">
        <v>0</v>
      </c>
      <c r="AE19" s="44">
        <v>0</v>
      </c>
      <c r="AF19" s="44">
        <v>0</v>
      </c>
      <c r="AG19" s="44">
        <v>138243.54</v>
      </c>
      <c r="AH19" s="44">
        <v>0</v>
      </c>
      <c r="AI19" s="44">
        <v>0</v>
      </c>
      <c r="AJ19" s="44">
        <v>0</v>
      </c>
      <c r="AK19" s="44">
        <v>27824.831999999999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S19" s="44">
        <v>0</v>
      </c>
      <c r="AT19" s="44">
        <v>1497716.5893999999</v>
      </c>
      <c r="AU19" s="44">
        <v>375836.38786399236</v>
      </c>
      <c r="AV19" s="44">
        <v>166068.372</v>
      </c>
      <c r="AW19" s="44">
        <v>315447.47879351617</v>
      </c>
      <c r="AX19" s="62">
        <v>2039621.3492639922</v>
      </c>
      <c r="AY19" s="62">
        <v>2011796.5172639922</v>
      </c>
      <c r="AZ19" s="62">
        <v>4610</v>
      </c>
      <c r="BA19" s="62">
        <v>1931590</v>
      </c>
      <c r="BB19" s="62">
        <v>0</v>
      </c>
      <c r="BC19" s="62">
        <v>0</v>
      </c>
      <c r="BD19" s="62">
        <v>2039621.3492639922</v>
      </c>
      <c r="BE19" s="44">
        <v>2039621.3492639924</v>
      </c>
      <c r="BF19" s="44">
        <v>0</v>
      </c>
      <c r="BG19" s="62">
        <v>1959414.8319999999</v>
      </c>
      <c r="BH19" s="62">
        <v>1793346.46</v>
      </c>
      <c r="BI19" s="44">
        <v>1873552.9772639922</v>
      </c>
      <c r="BJ19" s="44">
        <v>4471.4868192458043</v>
      </c>
      <c r="BK19" s="44">
        <v>4575.6466109263665</v>
      </c>
      <c r="BL19" s="45">
        <v>-2.2763950221119551E-2</v>
      </c>
      <c r="BM19" s="45">
        <v>2.7763950221119552E-2</v>
      </c>
      <c r="BN19" s="44">
        <v>53228.932364046297</v>
      </c>
      <c r="BO19" s="62">
        <v>2092850.2816280385</v>
      </c>
      <c r="BP19" s="62">
        <v>4928.4616936230041</v>
      </c>
      <c r="BQ19" s="62" t="s">
        <v>92</v>
      </c>
      <c r="BR19" s="62">
        <v>4994.8694072268217</v>
      </c>
      <c r="BS19" s="53">
        <v>5.3714044314672194E-3</v>
      </c>
      <c r="BT19" s="44">
        <v>-10504.33</v>
      </c>
      <c r="BU19" s="44">
        <v>2082345.9516280384</v>
      </c>
      <c r="BV19" s="44">
        <v>0</v>
      </c>
      <c r="BW19" s="44">
        <v>2082345.9516280384</v>
      </c>
      <c r="BX19" s="44">
        <v>27824.831999999999</v>
      </c>
      <c r="BY19" s="44">
        <v>2054521.1196280385</v>
      </c>
    </row>
    <row r="20" spans="1:77">
      <c r="A20">
        <v>2062</v>
      </c>
      <c r="B20" s="60">
        <v>103192</v>
      </c>
      <c r="C20" s="60">
        <v>3302062</v>
      </c>
      <c r="D20" s="61" t="s">
        <v>584</v>
      </c>
      <c r="E20" s="52">
        <v>408</v>
      </c>
      <c r="F20" s="52">
        <v>408</v>
      </c>
      <c r="G20" s="52">
        <v>0</v>
      </c>
      <c r="H20" s="44">
        <v>1458397.0607999999</v>
      </c>
      <c r="I20" s="44">
        <v>0</v>
      </c>
      <c r="J20" s="44">
        <v>0</v>
      </c>
      <c r="K20" s="44">
        <v>95885.380499999941</v>
      </c>
      <c r="L20" s="44">
        <v>0</v>
      </c>
      <c r="M20" s="44">
        <v>162107.00540000002</v>
      </c>
      <c r="N20" s="44">
        <v>0</v>
      </c>
      <c r="O20" s="44">
        <v>19101.808800000013</v>
      </c>
      <c r="P20" s="44">
        <v>10868.011400000001</v>
      </c>
      <c r="Q20" s="44">
        <v>20541.847400000057</v>
      </c>
      <c r="R20" s="44">
        <v>59377.680599999949</v>
      </c>
      <c r="S20" s="44">
        <v>35142.916800000065</v>
      </c>
      <c r="T20" s="44">
        <v>17742.056799999991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102147.45493028576</v>
      </c>
      <c r="AB20" s="44">
        <v>0</v>
      </c>
      <c r="AC20" s="44">
        <v>235343.16520000005</v>
      </c>
      <c r="AD20" s="44">
        <v>0</v>
      </c>
      <c r="AE20" s="44">
        <v>32292.148991999988</v>
      </c>
      <c r="AF20" s="44">
        <v>0</v>
      </c>
      <c r="AG20" s="44">
        <v>138243.54</v>
      </c>
      <c r="AH20" s="44">
        <v>0</v>
      </c>
      <c r="AI20" s="44">
        <v>0</v>
      </c>
      <c r="AJ20" s="44">
        <v>0</v>
      </c>
      <c r="AK20" s="44">
        <v>48655.933100000002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S20" s="44">
        <v>0</v>
      </c>
      <c r="AT20" s="44">
        <v>1458397.0607999999</v>
      </c>
      <c r="AU20" s="44">
        <v>790549.4768222858</v>
      </c>
      <c r="AV20" s="44">
        <v>186899.4731</v>
      </c>
      <c r="AW20" s="44">
        <v>518646.37209000014</v>
      </c>
      <c r="AX20" s="62">
        <v>2435846.0107222856</v>
      </c>
      <c r="AY20" s="62">
        <v>2387190.0776222856</v>
      </c>
      <c r="AZ20" s="62">
        <v>4610</v>
      </c>
      <c r="BA20" s="62">
        <v>1880880</v>
      </c>
      <c r="BB20" s="62">
        <v>0</v>
      </c>
      <c r="BC20" s="62">
        <v>0</v>
      </c>
      <c r="BD20" s="62">
        <v>2435846.0107222856</v>
      </c>
      <c r="BE20" s="44">
        <v>2435846.0107222856</v>
      </c>
      <c r="BF20" s="44">
        <v>0</v>
      </c>
      <c r="BG20" s="62">
        <v>1929535.9331</v>
      </c>
      <c r="BH20" s="62">
        <v>1742636.46</v>
      </c>
      <c r="BI20" s="44">
        <v>2248946.5376222855</v>
      </c>
      <c r="BJ20" s="44">
        <v>5512.1238667212883</v>
      </c>
      <c r="BK20" s="44">
        <v>5275.3355471882642</v>
      </c>
      <c r="BL20" s="45">
        <v>4.4885925722626598E-2</v>
      </c>
      <c r="BM20" s="45">
        <v>0</v>
      </c>
      <c r="BN20" s="44">
        <v>0</v>
      </c>
      <c r="BO20" s="62">
        <v>2435846.0107222856</v>
      </c>
      <c r="BP20" s="62">
        <v>5850.9560726036407</v>
      </c>
      <c r="BQ20" s="62" t="s">
        <v>92</v>
      </c>
      <c r="BR20" s="62">
        <v>5970.2108105938369</v>
      </c>
      <c r="BS20" s="53">
        <v>4.2133029921237686E-2</v>
      </c>
      <c r="BT20" s="44">
        <v>-10228.56</v>
      </c>
      <c r="BU20" s="44">
        <v>2425617.4507222855</v>
      </c>
      <c r="BV20" s="44">
        <v>0</v>
      </c>
      <c r="BW20" s="44">
        <v>2425617.4507222855</v>
      </c>
      <c r="BX20" s="44">
        <v>48655.933100000002</v>
      </c>
      <c r="BY20" s="44">
        <v>2376961.5176222855</v>
      </c>
    </row>
    <row r="21" spans="1:77">
      <c r="A21">
        <v>2063</v>
      </c>
      <c r="B21" s="60">
        <v>103193</v>
      </c>
      <c r="C21" s="60">
        <v>3302063</v>
      </c>
      <c r="D21" s="61" t="s">
        <v>500</v>
      </c>
      <c r="E21" s="52">
        <v>407</v>
      </c>
      <c r="F21" s="52">
        <v>407</v>
      </c>
      <c r="G21" s="52">
        <v>0</v>
      </c>
      <c r="H21" s="44">
        <v>1454822.5581999999</v>
      </c>
      <c r="I21" s="44">
        <v>0</v>
      </c>
      <c r="J21" s="44">
        <v>0</v>
      </c>
      <c r="K21" s="44">
        <v>112112.13719999994</v>
      </c>
      <c r="L21" s="44">
        <v>0</v>
      </c>
      <c r="M21" s="44">
        <v>196667.88979999992</v>
      </c>
      <c r="N21" s="44">
        <v>0</v>
      </c>
      <c r="O21" s="44">
        <v>943.29920000000027</v>
      </c>
      <c r="P21" s="44">
        <v>6578.0068999999985</v>
      </c>
      <c r="Q21" s="44">
        <v>57606.485100000013</v>
      </c>
      <c r="R21" s="44">
        <v>18981.389699999992</v>
      </c>
      <c r="S21" s="44">
        <v>99227.059200000047</v>
      </c>
      <c r="T21" s="44">
        <v>6141.4811999999965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100013.80386824513</v>
      </c>
      <c r="AB21" s="44">
        <v>0</v>
      </c>
      <c r="AC21" s="44">
        <v>192887.45130449114</v>
      </c>
      <c r="AD21" s="44">
        <v>0</v>
      </c>
      <c r="AE21" s="44">
        <v>0</v>
      </c>
      <c r="AF21" s="44">
        <v>0</v>
      </c>
      <c r="AG21" s="44">
        <v>138243.54</v>
      </c>
      <c r="AH21" s="44">
        <v>0</v>
      </c>
      <c r="AI21" s="44">
        <v>0</v>
      </c>
      <c r="AJ21" s="44">
        <v>0</v>
      </c>
      <c r="AK21" s="44">
        <v>56709.657599999999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S21" s="44">
        <v>0</v>
      </c>
      <c r="AT21" s="44">
        <v>1454822.5581999999</v>
      </c>
      <c r="AU21" s="44">
        <v>791159.00347273622</v>
      </c>
      <c r="AV21" s="44">
        <v>194953.19760000001</v>
      </c>
      <c r="AW21" s="44">
        <v>514757.45336449106</v>
      </c>
      <c r="AX21" s="62">
        <v>2440934.759272736</v>
      </c>
      <c r="AY21" s="62">
        <v>2384225.101672736</v>
      </c>
      <c r="AZ21" s="62">
        <v>4610</v>
      </c>
      <c r="BA21" s="62">
        <v>1876270</v>
      </c>
      <c r="BB21" s="62">
        <v>0</v>
      </c>
      <c r="BC21" s="62">
        <v>0</v>
      </c>
      <c r="BD21" s="62">
        <v>2440934.759272736</v>
      </c>
      <c r="BE21" s="44">
        <v>2440934.759272736</v>
      </c>
      <c r="BF21" s="44">
        <v>0</v>
      </c>
      <c r="BG21" s="62">
        <v>1932979.6576</v>
      </c>
      <c r="BH21" s="62">
        <v>1738026.46</v>
      </c>
      <c r="BI21" s="44">
        <v>2245981.561672736</v>
      </c>
      <c r="BJ21" s="44">
        <v>5518.3822154121281</v>
      </c>
      <c r="BK21" s="44">
        <v>5374.4521744779586</v>
      </c>
      <c r="BL21" s="45">
        <v>2.6780411521319374E-2</v>
      </c>
      <c r="BM21" s="45">
        <v>0</v>
      </c>
      <c r="BN21" s="44">
        <v>0</v>
      </c>
      <c r="BO21" s="62">
        <v>2440934.759272736</v>
      </c>
      <c r="BP21" s="62">
        <v>5858.0469328568452</v>
      </c>
      <c r="BQ21" s="62" t="s">
        <v>92</v>
      </c>
      <c r="BR21" s="62">
        <v>5997.3827009158131</v>
      </c>
      <c r="BS21" s="53">
        <v>2.9956523113934708E-2</v>
      </c>
      <c r="BT21" s="44">
        <v>-10203.49</v>
      </c>
      <c r="BU21" s="44">
        <v>2430731.2692727358</v>
      </c>
      <c r="BV21" s="44">
        <v>0</v>
      </c>
      <c r="BW21" s="44">
        <v>2430731.2692727358</v>
      </c>
      <c r="BX21" s="44">
        <v>56709.657599999999</v>
      </c>
      <c r="BY21" s="44">
        <v>2374021.6116727358</v>
      </c>
    </row>
    <row r="22" spans="1:77">
      <c r="A22">
        <v>2067</v>
      </c>
      <c r="B22" s="60">
        <v>103196</v>
      </c>
      <c r="C22" s="60">
        <v>3302067</v>
      </c>
      <c r="D22" s="61" t="s">
        <v>866</v>
      </c>
      <c r="E22" s="52">
        <v>382</v>
      </c>
      <c r="F22" s="52">
        <v>382</v>
      </c>
      <c r="G22" s="52">
        <v>0</v>
      </c>
      <c r="H22" s="44">
        <v>1365459.9931999999</v>
      </c>
      <c r="I22" s="44">
        <v>0</v>
      </c>
      <c r="J22" s="44">
        <v>0</v>
      </c>
      <c r="K22" s="44">
        <v>113095.57699999995</v>
      </c>
      <c r="L22" s="44">
        <v>0</v>
      </c>
      <c r="M22" s="44">
        <v>190084.86420000007</v>
      </c>
      <c r="N22" s="44">
        <v>0</v>
      </c>
      <c r="O22" s="44">
        <v>707.4744000000004</v>
      </c>
      <c r="P22" s="44">
        <v>48048.050399999956</v>
      </c>
      <c r="Q22" s="44">
        <v>3125.9332999999942</v>
      </c>
      <c r="R22" s="44">
        <v>10707.450599999996</v>
      </c>
      <c r="S22" s="44">
        <v>54264.798000000003</v>
      </c>
      <c r="T22" s="44">
        <v>38213.660799999881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95300.575369733007</v>
      </c>
      <c r="AB22" s="44">
        <v>0</v>
      </c>
      <c r="AC22" s="44">
        <v>203643.75787521063</v>
      </c>
      <c r="AD22" s="44">
        <v>0</v>
      </c>
      <c r="AE22" s="44">
        <v>19344.461567999999</v>
      </c>
      <c r="AF22" s="44">
        <v>0</v>
      </c>
      <c r="AG22" s="44">
        <v>138243.54</v>
      </c>
      <c r="AH22" s="44">
        <v>0</v>
      </c>
      <c r="AI22" s="44">
        <v>0</v>
      </c>
      <c r="AJ22" s="44">
        <v>0</v>
      </c>
      <c r="AK22" s="44">
        <v>38159.7696</v>
      </c>
      <c r="AL22" s="44">
        <v>0</v>
      </c>
      <c r="AM22" s="44">
        <v>0</v>
      </c>
      <c r="AN22" s="44">
        <v>0</v>
      </c>
      <c r="AO22" s="44">
        <v>0</v>
      </c>
      <c r="AP22" s="44">
        <v>0</v>
      </c>
      <c r="AQ22" s="44">
        <v>0</v>
      </c>
      <c r="AR22" s="44">
        <v>0</v>
      </c>
      <c r="AS22" s="44">
        <v>0</v>
      </c>
      <c r="AT22" s="44">
        <v>1365459.9931999999</v>
      </c>
      <c r="AU22" s="44">
        <v>776536.60351294349</v>
      </c>
      <c r="AV22" s="44">
        <v>176403.30960000001</v>
      </c>
      <c r="AW22" s="44">
        <v>501040.66188521055</v>
      </c>
      <c r="AX22" s="62">
        <v>2318399.906312943</v>
      </c>
      <c r="AY22" s="62">
        <v>2280240.1367129432</v>
      </c>
      <c r="AZ22" s="62">
        <v>4610</v>
      </c>
      <c r="BA22" s="62">
        <v>1761020</v>
      </c>
      <c r="BB22" s="62">
        <v>0</v>
      </c>
      <c r="BC22" s="62">
        <v>0</v>
      </c>
      <c r="BD22" s="62">
        <v>2318399.906312943</v>
      </c>
      <c r="BE22" s="44">
        <v>2318399.9063129434</v>
      </c>
      <c r="BF22" s="44">
        <v>0</v>
      </c>
      <c r="BG22" s="62">
        <v>1799179.7696</v>
      </c>
      <c r="BH22" s="62">
        <v>1622776.46</v>
      </c>
      <c r="BI22" s="44">
        <v>2141996.5967129432</v>
      </c>
      <c r="BJ22" s="44">
        <v>5607.3209338035158</v>
      </c>
      <c r="BK22" s="44">
        <v>5574.3517212290499</v>
      </c>
      <c r="BL22" s="45">
        <v>5.9144478538926456E-3</v>
      </c>
      <c r="BM22" s="45">
        <v>0</v>
      </c>
      <c r="BN22" s="44">
        <v>0</v>
      </c>
      <c r="BO22" s="62">
        <v>2318399.906312943</v>
      </c>
      <c r="BP22" s="62">
        <v>5969.2150175731495</v>
      </c>
      <c r="BQ22" s="62" t="s">
        <v>92</v>
      </c>
      <c r="BR22" s="62">
        <v>6069.1097023899028</v>
      </c>
      <c r="BS22" s="53">
        <v>8.4365424840049386E-4</v>
      </c>
      <c r="BT22" s="44">
        <v>-9576.74</v>
      </c>
      <c r="BU22" s="44">
        <v>2308823.1663129427</v>
      </c>
      <c r="BV22" s="44">
        <v>0</v>
      </c>
      <c r="BW22" s="44">
        <v>2308823.1663129427</v>
      </c>
      <c r="BX22" s="44">
        <v>38159.7696</v>
      </c>
      <c r="BY22" s="44">
        <v>2270663.396712943</v>
      </c>
    </row>
    <row r="23" spans="1:77">
      <c r="A23">
        <v>2079</v>
      </c>
      <c r="B23" s="60">
        <v>103200</v>
      </c>
      <c r="C23" s="60">
        <v>3302079</v>
      </c>
      <c r="D23" s="61" t="s">
        <v>641</v>
      </c>
      <c r="E23" s="52">
        <v>344</v>
      </c>
      <c r="F23" s="52">
        <v>344</v>
      </c>
      <c r="G23" s="52">
        <v>0</v>
      </c>
      <c r="H23" s="44">
        <v>1229628.8943999999</v>
      </c>
      <c r="I23" s="44">
        <v>0</v>
      </c>
      <c r="J23" s="44">
        <v>0</v>
      </c>
      <c r="K23" s="44">
        <v>84575.822799999994</v>
      </c>
      <c r="L23" s="44">
        <v>0</v>
      </c>
      <c r="M23" s="44">
        <v>143180.80679999996</v>
      </c>
      <c r="N23" s="44">
        <v>0</v>
      </c>
      <c r="O23" s="44">
        <v>18865.984000000026</v>
      </c>
      <c r="P23" s="44">
        <v>7722.0081000000037</v>
      </c>
      <c r="Q23" s="44">
        <v>7144.9903999999933</v>
      </c>
      <c r="R23" s="44">
        <v>4380.3206999999966</v>
      </c>
      <c r="S23" s="44">
        <v>9819.3444000000018</v>
      </c>
      <c r="T23" s="44">
        <v>12282.962399999989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64774.497676065599</v>
      </c>
      <c r="AB23" s="44">
        <v>0</v>
      </c>
      <c r="AC23" s="44">
        <v>139347.65641877477</v>
      </c>
      <c r="AD23" s="44">
        <v>0</v>
      </c>
      <c r="AE23" s="44">
        <v>28284.531455999891</v>
      </c>
      <c r="AF23" s="44">
        <v>0</v>
      </c>
      <c r="AG23" s="44">
        <v>138243.54</v>
      </c>
      <c r="AH23" s="44">
        <v>0</v>
      </c>
      <c r="AI23" s="44">
        <v>0</v>
      </c>
      <c r="AJ23" s="44">
        <v>0</v>
      </c>
      <c r="AK23" s="44">
        <v>23115.156999999999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S23" s="44">
        <v>0</v>
      </c>
      <c r="AT23" s="44">
        <v>1229628.8943999999</v>
      </c>
      <c r="AU23" s="44">
        <v>520378.92515084025</v>
      </c>
      <c r="AV23" s="44">
        <v>161358.69700000001</v>
      </c>
      <c r="AW23" s="44">
        <v>344815.22093877476</v>
      </c>
      <c r="AX23" s="62">
        <v>1911366.5165508401</v>
      </c>
      <c r="AY23" s="62">
        <v>1888251.3595508402</v>
      </c>
      <c r="AZ23" s="62">
        <v>4610</v>
      </c>
      <c r="BA23" s="62">
        <v>1585840</v>
      </c>
      <c r="BB23" s="62">
        <v>0</v>
      </c>
      <c r="BC23" s="62">
        <v>0</v>
      </c>
      <c r="BD23" s="62">
        <v>1911366.5165508401</v>
      </c>
      <c r="BE23" s="44">
        <v>1911366.5165508401</v>
      </c>
      <c r="BF23" s="44">
        <v>0</v>
      </c>
      <c r="BG23" s="62">
        <v>1608955.1569999999</v>
      </c>
      <c r="BH23" s="62">
        <v>1447596.46</v>
      </c>
      <c r="BI23" s="44">
        <v>1750007.8195508402</v>
      </c>
      <c r="BJ23" s="44">
        <v>5087.2320335780241</v>
      </c>
      <c r="BK23" s="44">
        <v>5015.9633859943979</v>
      </c>
      <c r="BL23" s="45">
        <v>1.4208366788047735E-2</v>
      </c>
      <c r="BM23" s="45">
        <v>0</v>
      </c>
      <c r="BN23" s="44">
        <v>0</v>
      </c>
      <c r="BO23" s="62">
        <v>1911366.5165508401</v>
      </c>
      <c r="BP23" s="62">
        <v>5489.1027893919772</v>
      </c>
      <c r="BQ23" s="62" t="s">
        <v>92</v>
      </c>
      <c r="BR23" s="62">
        <v>5556.2980132291859</v>
      </c>
      <c r="BS23" s="53">
        <v>1.6508291466241998E-2</v>
      </c>
      <c r="BT23" s="44">
        <v>-8624.08</v>
      </c>
      <c r="BU23" s="44">
        <v>1902742.43655084</v>
      </c>
      <c r="BV23" s="44">
        <v>0</v>
      </c>
      <c r="BW23" s="44">
        <v>1902742.43655084</v>
      </c>
      <c r="BX23" s="44">
        <v>23115.156999999999</v>
      </c>
      <c r="BY23" s="44">
        <v>1879627.2795508401</v>
      </c>
    </row>
    <row r="24" spans="1:77">
      <c r="A24">
        <v>2081</v>
      </c>
      <c r="B24" s="60">
        <v>103201</v>
      </c>
      <c r="C24" s="60">
        <v>3302081</v>
      </c>
      <c r="D24" s="61" t="s">
        <v>467</v>
      </c>
      <c r="E24" s="52">
        <v>418</v>
      </c>
      <c r="F24" s="52">
        <v>418</v>
      </c>
      <c r="G24" s="52">
        <v>0</v>
      </c>
      <c r="H24" s="44">
        <v>1494142.0867999999</v>
      </c>
      <c r="I24" s="44">
        <v>0</v>
      </c>
      <c r="J24" s="44">
        <v>0</v>
      </c>
      <c r="K24" s="44">
        <v>71791.105400000073</v>
      </c>
      <c r="L24" s="44">
        <v>0</v>
      </c>
      <c r="M24" s="44">
        <v>120140.21720000012</v>
      </c>
      <c r="N24" s="44">
        <v>0</v>
      </c>
      <c r="O24" s="44">
        <v>10612.116000000051</v>
      </c>
      <c r="P24" s="44">
        <v>9152.0096000000012</v>
      </c>
      <c r="Q24" s="44">
        <v>893.12379999999973</v>
      </c>
      <c r="R24" s="44">
        <v>6813.8322000000044</v>
      </c>
      <c r="S24" s="44">
        <v>6201.6912000000075</v>
      </c>
      <c r="T24" s="44">
        <v>682.38680000000136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23504.222432402225</v>
      </c>
      <c r="AB24" s="44">
        <v>0</v>
      </c>
      <c r="AC24" s="44">
        <v>115903.50724469911</v>
      </c>
      <c r="AD24" s="44">
        <v>0</v>
      </c>
      <c r="AE24" s="44">
        <v>0</v>
      </c>
      <c r="AF24" s="44">
        <v>0</v>
      </c>
      <c r="AG24" s="44">
        <v>138243.54</v>
      </c>
      <c r="AH24" s="44">
        <v>0</v>
      </c>
      <c r="AI24" s="44">
        <v>0</v>
      </c>
      <c r="AJ24" s="44">
        <v>0</v>
      </c>
      <c r="AK24" s="44">
        <v>41339.750399999997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0</v>
      </c>
      <c r="AS24" s="44">
        <v>0</v>
      </c>
      <c r="AT24" s="44">
        <v>1494142.0867999999</v>
      </c>
      <c r="AU24" s="44">
        <v>365694.21187710157</v>
      </c>
      <c r="AV24" s="44">
        <v>179583.2904</v>
      </c>
      <c r="AW24" s="44">
        <v>303753.85268469923</v>
      </c>
      <c r="AX24" s="62">
        <v>2039419.5890771016</v>
      </c>
      <c r="AY24" s="62">
        <v>1998079.8386771015</v>
      </c>
      <c r="AZ24" s="62">
        <v>4610</v>
      </c>
      <c r="BA24" s="62">
        <v>1926980</v>
      </c>
      <c r="BB24" s="62">
        <v>0</v>
      </c>
      <c r="BC24" s="62">
        <v>0</v>
      </c>
      <c r="BD24" s="62">
        <v>2039419.5890771016</v>
      </c>
      <c r="BE24" s="44">
        <v>2039419.5890771016</v>
      </c>
      <c r="BF24" s="44">
        <v>0</v>
      </c>
      <c r="BG24" s="62">
        <v>1968319.7504</v>
      </c>
      <c r="BH24" s="62">
        <v>1788736.46</v>
      </c>
      <c r="BI24" s="44">
        <v>1859836.2986771015</v>
      </c>
      <c r="BJ24" s="44">
        <v>4449.3691355911515</v>
      </c>
      <c r="BK24" s="44">
        <v>4400.5698610294121</v>
      </c>
      <c r="BL24" s="45">
        <v>1.1089307999378949E-2</v>
      </c>
      <c r="BM24" s="45">
        <v>0</v>
      </c>
      <c r="BN24" s="44">
        <v>0</v>
      </c>
      <c r="BO24" s="62">
        <v>2039419.5890771016</v>
      </c>
      <c r="BP24" s="62">
        <v>4780.0953078399561</v>
      </c>
      <c r="BQ24" s="62" t="s">
        <v>92</v>
      </c>
      <c r="BR24" s="62">
        <v>4878.9942322418701</v>
      </c>
      <c r="BS24" s="53">
        <v>8.5205307356088777E-3</v>
      </c>
      <c r="BT24" s="44">
        <v>-10479.26</v>
      </c>
      <c r="BU24" s="44">
        <v>2028940.3290771015</v>
      </c>
      <c r="BV24" s="44">
        <v>0</v>
      </c>
      <c r="BW24" s="44">
        <v>2028940.3290771015</v>
      </c>
      <c r="BX24" s="44">
        <v>41339.750399999997</v>
      </c>
      <c r="BY24" s="44">
        <v>1987600.5786771015</v>
      </c>
    </row>
    <row r="25" spans="1:77">
      <c r="A25">
        <v>2087</v>
      </c>
      <c r="B25" s="60">
        <v>103205</v>
      </c>
      <c r="C25" s="60">
        <v>3302087</v>
      </c>
      <c r="D25" s="61" t="s">
        <v>650</v>
      </c>
      <c r="E25" s="52">
        <v>361</v>
      </c>
      <c r="F25" s="52">
        <v>361</v>
      </c>
      <c r="G25" s="52">
        <v>0</v>
      </c>
      <c r="H25" s="44">
        <v>1290395.4386</v>
      </c>
      <c r="I25" s="44">
        <v>0</v>
      </c>
      <c r="J25" s="44">
        <v>0</v>
      </c>
      <c r="K25" s="44">
        <v>89984.741700000042</v>
      </c>
      <c r="L25" s="44">
        <v>0</v>
      </c>
      <c r="M25" s="44">
        <v>155523.97979999997</v>
      </c>
      <c r="N25" s="44">
        <v>0</v>
      </c>
      <c r="O25" s="44">
        <v>9695.6746244444548</v>
      </c>
      <c r="P25" s="44">
        <v>12332.174046944398</v>
      </c>
      <c r="Q25" s="44">
        <v>30450.559781111126</v>
      </c>
      <c r="R25" s="44">
        <v>45877.099578333313</v>
      </c>
      <c r="S25" s="44">
        <v>18138.511183333329</v>
      </c>
      <c r="T25" s="44">
        <v>22581.316523333346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40035.440736555865</v>
      </c>
      <c r="AB25" s="44">
        <v>0</v>
      </c>
      <c r="AC25" s="44">
        <v>200846.35396679252</v>
      </c>
      <c r="AD25" s="44">
        <v>0</v>
      </c>
      <c r="AE25" s="44">
        <v>18631.568063999977</v>
      </c>
      <c r="AF25" s="44">
        <v>0</v>
      </c>
      <c r="AG25" s="44">
        <v>138243.54</v>
      </c>
      <c r="AH25" s="44">
        <v>0</v>
      </c>
      <c r="AI25" s="44">
        <v>0</v>
      </c>
      <c r="AJ25" s="44">
        <v>0</v>
      </c>
      <c r="AK25" s="44">
        <v>25826.9925</v>
      </c>
      <c r="AL25" s="44">
        <v>0</v>
      </c>
      <c r="AM25" s="44">
        <v>0</v>
      </c>
      <c r="AN25" s="44">
        <v>0</v>
      </c>
      <c r="AO25" s="44">
        <v>0</v>
      </c>
      <c r="AP25" s="44">
        <v>0</v>
      </c>
      <c r="AQ25" s="44">
        <v>0</v>
      </c>
      <c r="AR25" s="44">
        <v>0</v>
      </c>
      <c r="AS25" s="44">
        <v>0</v>
      </c>
      <c r="AT25" s="44">
        <v>1290395.4386</v>
      </c>
      <c r="AU25" s="44">
        <v>644097.42000484839</v>
      </c>
      <c r="AV25" s="44">
        <v>164070.5325</v>
      </c>
      <c r="AW25" s="44">
        <v>457658.15451554256</v>
      </c>
      <c r="AX25" s="62">
        <v>2098563.3911048486</v>
      </c>
      <c r="AY25" s="62">
        <v>2072736.3986048487</v>
      </c>
      <c r="AZ25" s="62">
        <v>4610</v>
      </c>
      <c r="BA25" s="62">
        <v>1664210</v>
      </c>
      <c r="BB25" s="62">
        <v>0</v>
      </c>
      <c r="BC25" s="62">
        <v>0</v>
      </c>
      <c r="BD25" s="62">
        <v>2098563.3911048486</v>
      </c>
      <c r="BE25" s="44">
        <v>2098563.3911048486</v>
      </c>
      <c r="BF25" s="44">
        <v>0</v>
      </c>
      <c r="BG25" s="62">
        <v>1690036.9924999999</v>
      </c>
      <c r="BH25" s="62">
        <v>1525966.46</v>
      </c>
      <c r="BI25" s="44">
        <v>1934492.8586048486</v>
      </c>
      <c r="BJ25" s="44">
        <v>5358.7059795148161</v>
      </c>
      <c r="BK25" s="44">
        <v>5195.4073270270273</v>
      </c>
      <c r="BL25" s="45">
        <v>3.1431347382195211E-2</v>
      </c>
      <c r="BM25" s="45">
        <v>0</v>
      </c>
      <c r="BN25" s="44">
        <v>0</v>
      </c>
      <c r="BO25" s="62">
        <v>2098563.3911048486</v>
      </c>
      <c r="BP25" s="62">
        <v>5741.6520736976418</v>
      </c>
      <c r="BQ25" s="62" t="s">
        <v>92</v>
      </c>
      <c r="BR25" s="62">
        <v>5813.1949892101065</v>
      </c>
      <c r="BS25" s="53">
        <v>3.1291978533206422E-2</v>
      </c>
      <c r="BT25" s="44">
        <v>-9050.27</v>
      </c>
      <c r="BU25" s="44">
        <v>2089513.1211048486</v>
      </c>
      <c r="BV25" s="44">
        <v>0</v>
      </c>
      <c r="BW25" s="44">
        <v>2089513.1211048486</v>
      </c>
      <c r="BX25" s="44">
        <v>25826.9925</v>
      </c>
      <c r="BY25" s="44">
        <v>2063686.1286048486</v>
      </c>
    </row>
    <row r="26" spans="1:77">
      <c r="A26">
        <v>2091</v>
      </c>
      <c r="B26" s="60">
        <v>103208</v>
      </c>
      <c r="C26" s="60">
        <v>3302091</v>
      </c>
      <c r="D26" s="61" t="s">
        <v>656</v>
      </c>
      <c r="E26" s="52">
        <v>178</v>
      </c>
      <c r="F26" s="52">
        <v>178</v>
      </c>
      <c r="G26" s="52">
        <v>0</v>
      </c>
      <c r="H26" s="44">
        <v>636261.46279999998</v>
      </c>
      <c r="I26" s="44">
        <v>0</v>
      </c>
      <c r="J26" s="44">
        <v>0</v>
      </c>
      <c r="K26" s="44">
        <v>40321.031800000019</v>
      </c>
      <c r="L26" s="44">
        <v>0</v>
      </c>
      <c r="M26" s="44">
        <v>68298.890600000042</v>
      </c>
      <c r="N26" s="44">
        <v>0</v>
      </c>
      <c r="O26" s="44">
        <v>17922.684799999981</v>
      </c>
      <c r="P26" s="44">
        <v>2288.0023999999999</v>
      </c>
      <c r="Q26" s="44">
        <v>0</v>
      </c>
      <c r="R26" s="44">
        <v>25795.221899999997</v>
      </c>
      <c r="S26" s="44">
        <v>7752.1139999999978</v>
      </c>
      <c r="T26" s="44">
        <v>5459.0944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13661.487803703747</v>
      </c>
      <c r="AB26" s="44">
        <v>0</v>
      </c>
      <c r="AC26" s="44">
        <v>89717.433968616271</v>
      </c>
      <c r="AD26" s="44">
        <v>0</v>
      </c>
      <c r="AE26" s="44">
        <v>4161.7566719999977</v>
      </c>
      <c r="AF26" s="44">
        <v>0</v>
      </c>
      <c r="AG26" s="44">
        <v>138243.54</v>
      </c>
      <c r="AH26" s="44">
        <v>0</v>
      </c>
      <c r="AI26" s="44">
        <v>0</v>
      </c>
      <c r="AJ26" s="44">
        <v>0</v>
      </c>
      <c r="AK26" s="44">
        <v>16916.678800000002</v>
      </c>
      <c r="AL26" s="44">
        <v>0</v>
      </c>
      <c r="AM26" s="44">
        <v>0</v>
      </c>
      <c r="AN26" s="44">
        <v>0</v>
      </c>
      <c r="AO26" s="44">
        <v>0</v>
      </c>
      <c r="AP26" s="44">
        <v>0</v>
      </c>
      <c r="AQ26" s="44">
        <v>0</v>
      </c>
      <c r="AR26" s="44">
        <v>0</v>
      </c>
      <c r="AS26" s="44">
        <v>0</v>
      </c>
      <c r="AT26" s="44">
        <v>636261.46279999998</v>
      </c>
      <c r="AU26" s="44">
        <v>275377.71834432008</v>
      </c>
      <c r="AV26" s="44">
        <v>155160.2188</v>
      </c>
      <c r="AW26" s="44">
        <v>205449.02705861628</v>
      </c>
      <c r="AX26" s="62">
        <v>1066799.3999443201</v>
      </c>
      <c r="AY26" s="62">
        <v>1049882.72114432</v>
      </c>
      <c r="AZ26" s="62">
        <v>4610</v>
      </c>
      <c r="BA26" s="62">
        <v>820580</v>
      </c>
      <c r="BB26" s="62">
        <v>0</v>
      </c>
      <c r="BC26" s="62">
        <v>0</v>
      </c>
      <c r="BD26" s="62">
        <v>1066799.3999443201</v>
      </c>
      <c r="BE26" s="44">
        <v>1066799.3999443199</v>
      </c>
      <c r="BF26" s="44">
        <v>0</v>
      </c>
      <c r="BG26" s="62">
        <v>837496.67879999999</v>
      </c>
      <c r="BH26" s="62">
        <v>682336.46</v>
      </c>
      <c r="BI26" s="44">
        <v>911639.18114432006</v>
      </c>
      <c r="BJ26" s="44">
        <v>5121.5684333950567</v>
      </c>
      <c r="BK26" s="44">
        <v>4816.5882494736843</v>
      </c>
      <c r="BL26" s="45">
        <v>6.3318716096336033E-2</v>
      </c>
      <c r="BM26" s="45">
        <v>0</v>
      </c>
      <c r="BN26" s="44">
        <v>0</v>
      </c>
      <c r="BO26" s="62">
        <v>1066799.3999443201</v>
      </c>
      <c r="BP26" s="62">
        <v>5898.2175345186515</v>
      </c>
      <c r="BQ26" s="62" t="s">
        <v>92</v>
      </c>
      <c r="BR26" s="62">
        <v>5993.2550558669664</v>
      </c>
      <c r="BS26" s="53">
        <v>6.4402647544543168E-2</v>
      </c>
      <c r="BT26" s="44">
        <v>-4462.46</v>
      </c>
      <c r="BU26" s="44">
        <v>1062336.9399443201</v>
      </c>
      <c r="BV26" s="44">
        <v>0</v>
      </c>
      <c r="BW26" s="44">
        <v>1062336.9399443201</v>
      </c>
      <c r="BX26" s="44">
        <v>16916.678800000002</v>
      </c>
      <c r="BY26" s="44">
        <v>1045420.2611443201</v>
      </c>
    </row>
    <row r="27" spans="1:77">
      <c r="A27">
        <v>2092</v>
      </c>
      <c r="B27" s="60">
        <v>103209</v>
      </c>
      <c r="C27" s="60">
        <v>3302092</v>
      </c>
      <c r="D27" s="61" t="s">
        <v>300</v>
      </c>
      <c r="E27" s="52">
        <v>484</v>
      </c>
      <c r="F27" s="52">
        <v>484</v>
      </c>
      <c r="G27" s="52">
        <v>0</v>
      </c>
      <c r="H27" s="44">
        <v>1730059.2583999999</v>
      </c>
      <c r="I27" s="44">
        <v>0</v>
      </c>
      <c r="J27" s="44">
        <v>0</v>
      </c>
      <c r="K27" s="44">
        <v>72774.545199999979</v>
      </c>
      <c r="L27" s="44">
        <v>0</v>
      </c>
      <c r="M27" s="44">
        <v>122608.85179999981</v>
      </c>
      <c r="N27" s="44">
        <v>0</v>
      </c>
      <c r="O27" s="44">
        <v>12262.889600000044</v>
      </c>
      <c r="P27" s="44">
        <v>17446.018300000043</v>
      </c>
      <c r="Q27" s="44">
        <v>4465.6190000000024</v>
      </c>
      <c r="R27" s="44">
        <v>6327.1298999999981</v>
      </c>
      <c r="S27" s="44">
        <v>9302.5367999999999</v>
      </c>
      <c r="T27" s="44">
        <v>2047.1604000000011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20765.385188405791</v>
      </c>
      <c r="AB27" s="44">
        <v>0</v>
      </c>
      <c r="AC27" s="44">
        <v>139257.28900097852</v>
      </c>
      <c r="AD27" s="44">
        <v>0</v>
      </c>
      <c r="AE27" s="44">
        <v>0</v>
      </c>
      <c r="AF27" s="44">
        <v>0</v>
      </c>
      <c r="AG27" s="44">
        <v>138243.54</v>
      </c>
      <c r="AH27" s="44">
        <v>0</v>
      </c>
      <c r="AI27" s="44">
        <v>0</v>
      </c>
      <c r="AJ27" s="44">
        <v>0</v>
      </c>
      <c r="AK27" s="44">
        <v>27754.627199999999</v>
      </c>
      <c r="AL27" s="44">
        <v>0</v>
      </c>
      <c r="AM27" s="44">
        <v>0</v>
      </c>
      <c r="AN27" s="44">
        <v>0</v>
      </c>
      <c r="AO27" s="44">
        <v>0</v>
      </c>
      <c r="AP27" s="44">
        <v>0</v>
      </c>
      <c r="AQ27" s="44">
        <v>0</v>
      </c>
      <c r="AR27" s="44">
        <v>0</v>
      </c>
      <c r="AS27" s="44">
        <v>0</v>
      </c>
      <c r="AT27" s="44">
        <v>1730059.2583999999</v>
      </c>
      <c r="AU27" s="44">
        <v>407257.4251893842</v>
      </c>
      <c r="AV27" s="44">
        <v>165998.1672</v>
      </c>
      <c r="AW27" s="44">
        <v>349377.6274209785</v>
      </c>
      <c r="AX27" s="62">
        <v>2303314.850789384</v>
      </c>
      <c r="AY27" s="62">
        <v>2275560.223589384</v>
      </c>
      <c r="AZ27" s="62">
        <v>4610</v>
      </c>
      <c r="BA27" s="62">
        <v>2231240</v>
      </c>
      <c r="BB27" s="62">
        <v>0</v>
      </c>
      <c r="BC27" s="62">
        <v>0</v>
      </c>
      <c r="BD27" s="62">
        <v>2303314.850789384</v>
      </c>
      <c r="BE27" s="44">
        <v>2303314.8507893845</v>
      </c>
      <c r="BF27" s="44">
        <v>0</v>
      </c>
      <c r="BG27" s="62">
        <v>2258994.6272</v>
      </c>
      <c r="BH27" s="62">
        <v>2092996.46</v>
      </c>
      <c r="BI27" s="44">
        <v>2137316.683589384</v>
      </c>
      <c r="BJ27" s="44">
        <v>4415.9435611350909</v>
      </c>
      <c r="BK27" s="44">
        <v>4354.8642265560156</v>
      </c>
      <c r="BL27" s="45">
        <v>1.4025542795711691E-2</v>
      </c>
      <c r="BM27" s="45">
        <v>0</v>
      </c>
      <c r="BN27" s="44">
        <v>0</v>
      </c>
      <c r="BO27" s="62">
        <v>2303314.850789384</v>
      </c>
      <c r="BP27" s="62">
        <v>4701.5707098954217</v>
      </c>
      <c r="BQ27" s="62" t="s">
        <v>92</v>
      </c>
      <c r="BR27" s="62">
        <v>4758.9149809698019</v>
      </c>
      <c r="BS27" s="53">
        <v>1.305637103975843E-2</v>
      </c>
      <c r="BT27" s="44">
        <v>-12133.880000000001</v>
      </c>
      <c r="BU27" s="44">
        <v>2291180.9707893841</v>
      </c>
      <c r="BV27" s="44">
        <v>0</v>
      </c>
      <c r="BW27" s="44">
        <v>2291180.9707893841</v>
      </c>
      <c r="BX27" s="44">
        <v>27754.627199999999</v>
      </c>
      <c r="BY27" s="44">
        <v>2263426.3435893841</v>
      </c>
    </row>
    <row r="28" spans="1:77">
      <c r="A28">
        <v>2093</v>
      </c>
      <c r="B28" s="60">
        <v>103210</v>
      </c>
      <c r="C28" s="60">
        <v>3302093</v>
      </c>
      <c r="D28" s="61" t="s">
        <v>470</v>
      </c>
      <c r="E28" s="52">
        <v>349</v>
      </c>
      <c r="F28" s="52">
        <v>349</v>
      </c>
      <c r="G28" s="52">
        <v>0</v>
      </c>
      <c r="H28" s="44">
        <v>1247501.4073999999</v>
      </c>
      <c r="I28" s="44">
        <v>0</v>
      </c>
      <c r="J28" s="44">
        <v>0</v>
      </c>
      <c r="K28" s="44">
        <v>37862.432300000059</v>
      </c>
      <c r="L28" s="44">
        <v>0</v>
      </c>
      <c r="M28" s="44">
        <v>63361.621400000091</v>
      </c>
      <c r="N28" s="44">
        <v>0</v>
      </c>
      <c r="O28" s="44">
        <v>8489.692799999968</v>
      </c>
      <c r="P28" s="44">
        <v>13156.013799999979</v>
      </c>
      <c r="Q28" s="44">
        <v>3125.9333000000024</v>
      </c>
      <c r="R28" s="44">
        <v>2920.2138000000004</v>
      </c>
      <c r="S28" s="44">
        <v>5684.8835999999992</v>
      </c>
      <c r="T28" s="44">
        <v>682.38679999999943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119674.79762458343</v>
      </c>
      <c r="AB28" s="44">
        <v>0</v>
      </c>
      <c r="AC28" s="44">
        <v>99389.38120468086</v>
      </c>
      <c r="AD28" s="44">
        <v>0</v>
      </c>
      <c r="AE28" s="44">
        <v>0</v>
      </c>
      <c r="AF28" s="44">
        <v>0</v>
      </c>
      <c r="AG28" s="44">
        <v>138243.54</v>
      </c>
      <c r="AH28" s="44">
        <v>0</v>
      </c>
      <c r="AI28" s="44">
        <v>0</v>
      </c>
      <c r="AJ28" s="44">
        <v>0</v>
      </c>
      <c r="AK28" s="44">
        <v>19886.786800000002</v>
      </c>
      <c r="AL28" s="44">
        <v>0</v>
      </c>
      <c r="AM28" s="44">
        <v>0</v>
      </c>
      <c r="AN28" s="44">
        <v>0</v>
      </c>
      <c r="AO28" s="44">
        <v>0</v>
      </c>
      <c r="AP28" s="44">
        <v>0</v>
      </c>
      <c r="AQ28" s="44">
        <v>0</v>
      </c>
      <c r="AR28" s="44">
        <v>0</v>
      </c>
      <c r="AS28" s="44">
        <v>0</v>
      </c>
      <c r="AT28" s="44">
        <v>1247501.4073999999</v>
      </c>
      <c r="AU28" s="44">
        <v>354347.35662926442</v>
      </c>
      <c r="AV28" s="44">
        <v>158130.32680000001</v>
      </c>
      <c r="AW28" s="44">
        <v>229406.04047468089</v>
      </c>
      <c r="AX28" s="62">
        <v>1759979.0908292644</v>
      </c>
      <c r="AY28" s="62">
        <v>1740092.3040292645</v>
      </c>
      <c r="AZ28" s="62">
        <v>4610</v>
      </c>
      <c r="BA28" s="62">
        <v>1608890</v>
      </c>
      <c r="BB28" s="62">
        <v>0</v>
      </c>
      <c r="BC28" s="62">
        <v>0</v>
      </c>
      <c r="BD28" s="62">
        <v>1759979.0908292644</v>
      </c>
      <c r="BE28" s="44">
        <v>1759979.0908292641</v>
      </c>
      <c r="BF28" s="44">
        <v>0</v>
      </c>
      <c r="BG28" s="62">
        <v>1628776.7867999999</v>
      </c>
      <c r="BH28" s="62">
        <v>1470646.46</v>
      </c>
      <c r="BI28" s="44">
        <v>1601848.7640292645</v>
      </c>
      <c r="BJ28" s="44">
        <v>4589.8245387658008</v>
      </c>
      <c r="BK28" s="44">
        <v>4550.1052322222222</v>
      </c>
      <c r="BL28" s="45">
        <v>8.7293160303855404E-3</v>
      </c>
      <c r="BM28" s="45">
        <v>0</v>
      </c>
      <c r="BN28" s="44">
        <v>0</v>
      </c>
      <c r="BO28" s="62">
        <v>1759979.0908292644</v>
      </c>
      <c r="BP28" s="62">
        <v>4985.9378338947408</v>
      </c>
      <c r="BQ28" s="62" t="s">
        <v>92</v>
      </c>
      <c r="BR28" s="62">
        <v>5042.9200310294109</v>
      </c>
      <c r="BS28" s="53">
        <v>1.1061678230374294E-2</v>
      </c>
      <c r="BT28" s="44">
        <v>-8749.43</v>
      </c>
      <c r="BU28" s="44">
        <v>1751229.6608292644</v>
      </c>
      <c r="BV28" s="44">
        <v>0</v>
      </c>
      <c r="BW28" s="44">
        <v>1751229.6608292644</v>
      </c>
      <c r="BX28" s="44">
        <v>19886.786800000002</v>
      </c>
      <c r="BY28" s="44">
        <v>1731342.8740292643</v>
      </c>
    </row>
    <row r="29" spans="1:77">
      <c r="A29">
        <v>2097</v>
      </c>
      <c r="B29" s="60">
        <v>103213</v>
      </c>
      <c r="C29" s="60">
        <v>3302097</v>
      </c>
      <c r="D29" s="61" t="s">
        <v>542</v>
      </c>
      <c r="E29" s="52">
        <v>210</v>
      </c>
      <c r="F29" s="52">
        <v>210</v>
      </c>
      <c r="G29" s="52">
        <v>0</v>
      </c>
      <c r="H29" s="44">
        <v>750645.54599999997</v>
      </c>
      <c r="I29" s="44">
        <v>0</v>
      </c>
      <c r="J29" s="44">
        <v>0</v>
      </c>
      <c r="K29" s="44">
        <v>51138.869599999969</v>
      </c>
      <c r="L29" s="44">
        <v>0</v>
      </c>
      <c r="M29" s="44">
        <v>86402.210999999996</v>
      </c>
      <c r="N29" s="44">
        <v>0</v>
      </c>
      <c r="O29" s="44">
        <v>943.29919999999777</v>
      </c>
      <c r="P29" s="44">
        <v>1716.0018000000014</v>
      </c>
      <c r="Q29" s="44">
        <v>12057.17130000004</v>
      </c>
      <c r="R29" s="44">
        <v>7787.2367999999997</v>
      </c>
      <c r="S29" s="44">
        <v>59949.681599999953</v>
      </c>
      <c r="T29" s="44">
        <v>11600.575600000007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13124.23828333339</v>
      </c>
      <c r="AB29" s="44">
        <v>0</v>
      </c>
      <c r="AC29" s="44">
        <v>90247.014991525488</v>
      </c>
      <c r="AD29" s="44">
        <v>0</v>
      </c>
      <c r="AE29" s="44">
        <v>0</v>
      </c>
      <c r="AF29" s="44">
        <v>0</v>
      </c>
      <c r="AG29" s="44">
        <v>138243.54</v>
      </c>
      <c r="AH29" s="44">
        <v>0</v>
      </c>
      <c r="AI29" s="44">
        <v>0</v>
      </c>
      <c r="AJ29" s="44">
        <v>0</v>
      </c>
      <c r="AK29" s="44">
        <v>17433.2238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0</v>
      </c>
      <c r="AT29" s="44">
        <v>750645.54599999997</v>
      </c>
      <c r="AU29" s="44">
        <v>334966.30017485889</v>
      </c>
      <c r="AV29" s="44">
        <v>155676.76380000002</v>
      </c>
      <c r="AW29" s="44">
        <v>243576.8157415255</v>
      </c>
      <c r="AX29" s="62">
        <v>1241288.609974859</v>
      </c>
      <c r="AY29" s="62">
        <v>1223855.386174859</v>
      </c>
      <c r="AZ29" s="62">
        <v>4610</v>
      </c>
      <c r="BA29" s="62">
        <v>968100</v>
      </c>
      <c r="BB29" s="62">
        <v>0</v>
      </c>
      <c r="BC29" s="62">
        <v>0</v>
      </c>
      <c r="BD29" s="62">
        <v>1241288.609974859</v>
      </c>
      <c r="BE29" s="44">
        <v>1241288.6099748588</v>
      </c>
      <c r="BF29" s="44">
        <v>0</v>
      </c>
      <c r="BG29" s="62">
        <v>985533.22380000004</v>
      </c>
      <c r="BH29" s="62">
        <v>829856.46</v>
      </c>
      <c r="BI29" s="44">
        <v>1085611.846174859</v>
      </c>
      <c r="BJ29" s="44">
        <v>5169.5802198802812</v>
      </c>
      <c r="BK29" s="44">
        <v>5987.2728542857149</v>
      </c>
      <c r="BL29" s="45">
        <v>-0.13657180060202631</v>
      </c>
      <c r="BM29" s="45">
        <v>0.14157180060202632</v>
      </c>
      <c r="BN29" s="44">
        <v>178002.08972214107</v>
      </c>
      <c r="BO29" s="62">
        <v>1419290.6996970002</v>
      </c>
      <c r="BP29" s="62">
        <v>6675.511789985715</v>
      </c>
      <c r="BQ29" s="62" t="s">
        <v>92</v>
      </c>
      <c r="BR29" s="62">
        <v>6758.5271414142871</v>
      </c>
      <c r="BS29" s="53">
        <v>4.8102075027640634E-3</v>
      </c>
      <c r="BT29" s="44">
        <v>-5264.7</v>
      </c>
      <c r="BU29" s="44">
        <v>1414025.9996970003</v>
      </c>
      <c r="BV29" s="44">
        <v>0</v>
      </c>
      <c r="BW29" s="44">
        <v>1414025.9996970003</v>
      </c>
      <c r="BX29" s="44">
        <v>17433.2238</v>
      </c>
      <c r="BY29" s="44">
        <v>1396592.7758970002</v>
      </c>
    </row>
    <row r="30" spans="1:77">
      <c r="A30">
        <v>2099</v>
      </c>
      <c r="B30" s="60">
        <v>103214</v>
      </c>
      <c r="C30" s="60">
        <v>3302099</v>
      </c>
      <c r="D30" s="61" t="s">
        <v>473</v>
      </c>
      <c r="E30" s="52">
        <v>204</v>
      </c>
      <c r="F30" s="52">
        <v>204</v>
      </c>
      <c r="G30" s="52">
        <v>0</v>
      </c>
      <c r="H30" s="44">
        <v>729198.53039999993</v>
      </c>
      <c r="I30" s="44">
        <v>0</v>
      </c>
      <c r="J30" s="44">
        <v>0</v>
      </c>
      <c r="K30" s="44">
        <v>56056.068600000035</v>
      </c>
      <c r="L30" s="44">
        <v>0</v>
      </c>
      <c r="M30" s="44">
        <v>98745.383999999991</v>
      </c>
      <c r="N30" s="44">
        <v>0</v>
      </c>
      <c r="O30" s="44">
        <v>1179.1239999999989</v>
      </c>
      <c r="P30" s="44">
        <v>1716.0018000000027</v>
      </c>
      <c r="Q30" s="44">
        <v>3572.4951999999998</v>
      </c>
      <c r="R30" s="44">
        <v>22388.305799999962</v>
      </c>
      <c r="S30" s="44">
        <v>24806.764800000019</v>
      </c>
      <c r="T30" s="44">
        <v>45719.915600000058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23749.360820224712</v>
      </c>
      <c r="AB30" s="44">
        <v>0</v>
      </c>
      <c r="AC30" s="44">
        <v>67219.656299461771</v>
      </c>
      <c r="AD30" s="44">
        <v>0</v>
      </c>
      <c r="AE30" s="44">
        <v>0</v>
      </c>
      <c r="AF30" s="44">
        <v>0</v>
      </c>
      <c r="AG30" s="44">
        <v>138243.54</v>
      </c>
      <c r="AH30" s="44">
        <v>0</v>
      </c>
      <c r="AI30" s="44">
        <v>0</v>
      </c>
      <c r="AJ30" s="44">
        <v>0</v>
      </c>
      <c r="AK30" s="44">
        <v>15883.599099999999</v>
      </c>
      <c r="AL30" s="44">
        <v>0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0</v>
      </c>
      <c r="AS30" s="44">
        <v>0</v>
      </c>
      <c r="AT30" s="44">
        <v>729198.53039999993</v>
      </c>
      <c r="AU30" s="44">
        <v>345153.07691968657</v>
      </c>
      <c r="AV30" s="44">
        <v>154127.1391</v>
      </c>
      <c r="AW30" s="44">
        <v>230771.61271946185</v>
      </c>
      <c r="AX30" s="62">
        <v>1228478.7464196866</v>
      </c>
      <c r="AY30" s="62">
        <v>1212595.1473196866</v>
      </c>
      <c r="AZ30" s="62">
        <v>4610</v>
      </c>
      <c r="BA30" s="62">
        <v>940440</v>
      </c>
      <c r="BB30" s="62">
        <v>0</v>
      </c>
      <c r="BC30" s="62">
        <v>0</v>
      </c>
      <c r="BD30" s="62">
        <v>1228478.7464196866</v>
      </c>
      <c r="BE30" s="44">
        <v>1228478.7464196864</v>
      </c>
      <c r="BF30" s="44">
        <v>0</v>
      </c>
      <c r="BG30" s="62">
        <v>956323.59909999999</v>
      </c>
      <c r="BH30" s="62">
        <v>802196.46</v>
      </c>
      <c r="BI30" s="44">
        <v>1074351.6073196866</v>
      </c>
      <c r="BJ30" s="44">
        <v>5266.4294476455225</v>
      </c>
      <c r="BK30" s="44">
        <v>5583.4328062200948</v>
      </c>
      <c r="BL30" s="45">
        <v>-5.6775709420452236E-2</v>
      </c>
      <c r="BM30" s="45">
        <v>6.1775709420452234E-2</v>
      </c>
      <c r="BN30" s="44">
        <v>70363.78661155724</v>
      </c>
      <c r="BO30" s="62">
        <v>1298842.5330312438</v>
      </c>
      <c r="BP30" s="62">
        <v>6289.014382015901</v>
      </c>
      <c r="BQ30" s="62" t="s">
        <v>92</v>
      </c>
      <c r="BR30" s="62">
        <v>6366.875161917862</v>
      </c>
      <c r="BS30" s="53">
        <v>7.6290529594886802E-3</v>
      </c>
      <c r="BT30" s="44">
        <v>-5114.28</v>
      </c>
      <c r="BU30" s="44">
        <v>1293728.2530312438</v>
      </c>
      <c r="BV30" s="44">
        <v>0</v>
      </c>
      <c r="BW30" s="44">
        <v>1293728.2530312438</v>
      </c>
      <c r="BX30" s="44">
        <v>15883.599099999999</v>
      </c>
      <c r="BY30" s="44">
        <v>1277844.6539312438</v>
      </c>
    </row>
    <row r="31" spans="1:77">
      <c r="A31">
        <v>2108</v>
      </c>
      <c r="B31" s="60">
        <v>103217</v>
      </c>
      <c r="C31" s="60">
        <v>3302108</v>
      </c>
      <c r="D31" s="61" t="s">
        <v>837</v>
      </c>
      <c r="E31" s="52">
        <v>846</v>
      </c>
      <c r="F31" s="52">
        <v>846</v>
      </c>
      <c r="G31" s="52">
        <v>0</v>
      </c>
      <c r="H31" s="44">
        <v>3024029.1995999999</v>
      </c>
      <c r="I31" s="44">
        <v>0</v>
      </c>
      <c r="J31" s="44">
        <v>0</v>
      </c>
      <c r="K31" s="44">
        <v>167184.76600000012</v>
      </c>
      <c r="L31" s="44">
        <v>0</v>
      </c>
      <c r="M31" s="44">
        <v>283070.10080000031</v>
      </c>
      <c r="N31" s="44">
        <v>0</v>
      </c>
      <c r="O31" s="44">
        <v>5895.6200000000099</v>
      </c>
      <c r="P31" s="44">
        <v>30602.032099999902</v>
      </c>
      <c r="Q31" s="44">
        <v>42869.942400000167</v>
      </c>
      <c r="R31" s="44">
        <v>37476.077100000002</v>
      </c>
      <c r="S31" s="44">
        <v>228945.76679999987</v>
      </c>
      <c r="T31" s="44">
        <v>5459.094399999999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105997.88818008312</v>
      </c>
      <c r="AB31" s="44">
        <v>0</v>
      </c>
      <c r="AC31" s="44">
        <v>429585.4563701626</v>
      </c>
      <c r="AD31" s="44">
        <v>0</v>
      </c>
      <c r="AE31" s="44">
        <v>0</v>
      </c>
      <c r="AF31" s="44">
        <v>0</v>
      </c>
      <c r="AG31" s="44">
        <v>138243.54</v>
      </c>
      <c r="AH31" s="44">
        <v>0</v>
      </c>
      <c r="AI31" s="44">
        <v>0</v>
      </c>
      <c r="AJ31" s="44">
        <v>0</v>
      </c>
      <c r="AK31" s="44">
        <v>70489.574399999998</v>
      </c>
      <c r="AL31" s="44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0</v>
      </c>
      <c r="AS31" s="44">
        <v>0</v>
      </c>
      <c r="AT31" s="44">
        <v>3024029.1995999999</v>
      </c>
      <c r="AU31" s="44">
        <v>1337086.744150246</v>
      </c>
      <c r="AV31" s="44">
        <v>208733.11440000002</v>
      </c>
      <c r="AW31" s="44">
        <v>981538.61615016288</v>
      </c>
      <c r="AX31" s="62">
        <v>4569849.0581502458</v>
      </c>
      <c r="AY31" s="62">
        <v>4499359.4837502455</v>
      </c>
      <c r="AZ31" s="62">
        <v>4610</v>
      </c>
      <c r="BA31" s="62">
        <v>3900060</v>
      </c>
      <c r="BB31" s="62">
        <v>0</v>
      </c>
      <c r="BC31" s="62">
        <v>0</v>
      </c>
      <c r="BD31" s="62">
        <v>4569849.0581502458</v>
      </c>
      <c r="BE31" s="44">
        <v>4569849.0581502458</v>
      </c>
      <c r="BF31" s="44">
        <v>0</v>
      </c>
      <c r="BG31" s="62">
        <v>3970549.5743999998</v>
      </c>
      <c r="BH31" s="62">
        <v>3761816.46</v>
      </c>
      <c r="BI31" s="44">
        <v>4361115.9437502455</v>
      </c>
      <c r="BJ31" s="44">
        <v>5154.9833850475716</v>
      </c>
      <c r="BK31" s="44">
        <v>5067.9991854289074</v>
      </c>
      <c r="BL31" s="45">
        <v>1.7163420205108554E-2</v>
      </c>
      <c r="BM31" s="45">
        <v>0</v>
      </c>
      <c r="BN31" s="44">
        <v>0</v>
      </c>
      <c r="BO31" s="62">
        <v>4569849.0581502458</v>
      </c>
      <c r="BP31" s="62">
        <v>5318.391824763884</v>
      </c>
      <c r="BQ31" s="62" t="s">
        <v>92</v>
      </c>
      <c r="BR31" s="62">
        <v>5401.7128346929621</v>
      </c>
      <c r="BS31" s="53">
        <v>1.7105760806015891E-2</v>
      </c>
      <c r="BT31" s="44">
        <v>-21209.22</v>
      </c>
      <c r="BU31" s="44">
        <v>4548639.8381502461</v>
      </c>
      <c r="BV31" s="44">
        <v>0</v>
      </c>
      <c r="BW31" s="44">
        <v>4548639.8381502461</v>
      </c>
      <c r="BX31" s="44">
        <v>70489.574399999998</v>
      </c>
      <c r="BY31" s="44">
        <v>4478150.2637502458</v>
      </c>
    </row>
    <row r="32" spans="1:77">
      <c r="A32">
        <v>2115</v>
      </c>
      <c r="B32" s="60">
        <v>103221</v>
      </c>
      <c r="C32" s="60">
        <v>3302115</v>
      </c>
      <c r="D32" s="61" t="s">
        <v>697</v>
      </c>
      <c r="E32" s="52">
        <v>299</v>
      </c>
      <c r="F32" s="52">
        <v>299</v>
      </c>
      <c r="G32" s="52">
        <v>0</v>
      </c>
      <c r="H32" s="44">
        <v>1068776.2774</v>
      </c>
      <c r="I32" s="44">
        <v>0</v>
      </c>
      <c r="J32" s="44">
        <v>0</v>
      </c>
      <c r="K32" s="44">
        <v>74741.424800000008</v>
      </c>
      <c r="L32" s="44">
        <v>0</v>
      </c>
      <c r="M32" s="44">
        <v>128368.99920000012</v>
      </c>
      <c r="N32" s="44">
        <v>0</v>
      </c>
      <c r="O32" s="44">
        <v>13913.663199999995</v>
      </c>
      <c r="P32" s="44">
        <v>858.00089999999898</v>
      </c>
      <c r="Q32" s="44">
        <v>893.12379999999985</v>
      </c>
      <c r="R32" s="44">
        <v>3406.9161000000008</v>
      </c>
      <c r="S32" s="44">
        <v>84756.446400000015</v>
      </c>
      <c r="T32" s="44">
        <v>12965.34919999999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13400.616664940242</v>
      </c>
      <c r="AB32" s="44">
        <v>0</v>
      </c>
      <c r="AC32" s="44">
        <v>84072.159892098804</v>
      </c>
      <c r="AD32" s="44">
        <v>0</v>
      </c>
      <c r="AE32" s="44">
        <v>1021.1717759999885</v>
      </c>
      <c r="AF32" s="44">
        <v>0</v>
      </c>
      <c r="AG32" s="44">
        <v>138243.54</v>
      </c>
      <c r="AH32" s="44">
        <v>0</v>
      </c>
      <c r="AI32" s="44">
        <v>0</v>
      </c>
      <c r="AJ32" s="44">
        <v>0</v>
      </c>
      <c r="AK32" s="44">
        <v>41869.747199999998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1068776.2774</v>
      </c>
      <c r="AU32" s="44">
        <v>418397.87193303922</v>
      </c>
      <c r="AV32" s="44">
        <v>180113.28720000002</v>
      </c>
      <c r="AW32" s="44">
        <v>297462.93556209886</v>
      </c>
      <c r="AX32" s="62">
        <v>1667287.4365330394</v>
      </c>
      <c r="AY32" s="62">
        <v>1625417.6893330393</v>
      </c>
      <c r="AZ32" s="62">
        <v>4610</v>
      </c>
      <c r="BA32" s="62">
        <v>1378390</v>
      </c>
      <c r="BB32" s="62">
        <v>0</v>
      </c>
      <c r="BC32" s="62">
        <v>0</v>
      </c>
      <c r="BD32" s="62">
        <v>1667287.4365330394</v>
      </c>
      <c r="BE32" s="44">
        <v>1667287.4365330394</v>
      </c>
      <c r="BF32" s="44">
        <v>0</v>
      </c>
      <c r="BG32" s="62">
        <v>1420259.7472000001</v>
      </c>
      <c r="BH32" s="62">
        <v>1240146.46</v>
      </c>
      <c r="BI32" s="44">
        <v>1487174.1493330393</v>
      </c>
      <c r="BJ32" s="44">
        <v>4973.8265863981251</v>
      </c>
      <c r="BK32" s="44">
        <v>4931.1618966329961</v>
      </c>
      <c r="BL32" s="45">
        <v>8.6520561805647628E-3</v>
      </c>
      <c r="BM32" s="45">
        <v>0</v>
      </c>
      <c r="BN32" s="44">
        <v>0</v>
      </c>
      <c r="BO32" s="62">
        <v>1667287.4365330394</v>
      </c>
      <c r="BP32" s="62">
        <v>5436.1795629867538</v>
      </c>
      <c r="BQ32" s="62" t="s">
        <v>92</v>
      </c>
      <c r="BR32" s="62">
        <v>5576.2121623178573</v>
      </c>
      <c r="BS32" s="53">
        <v>7.7192233915512887E-3</v>
      </c>
      <c r="BT32" s="44">
        <v>-7495.93</v>
      </c>
      <c r="BU32" s="44">
        <v>1659791.5065330395</v>
      </c>
      <c r="BV32" s="44">
        <v>0</v>
      </c>
      <c r="BW32" s="44">
        <v>1659791.5065330395</v>
      </c>
      <c r="BX32" s="44">
        <v>41869.747199999998</v>
      </c>
      <c r="BY32" s="44">
        <v>1617921.7593330394</v>
      </c>
    </row>
    <row r="33" spans="1:77">
      <c r="A33">
        <v>2127</v>
      </c>
      <c r="B33" s="60">
        <v>103227</v>
      </c>
      <c r="C33" s="60">
        <v>3302127</v>
      </c>
      <c r="D33" s="61" t="s">
        <v>318</v>
      </c>
      <c r="E33" s="52">
        <v>418</v>
      </c>
      <c r="F33" s="52">
        <v>418</v>
      </c>
      <c r="G33" s="52">
        <v>0</v>
      </c>
      <c r="H33" s="44">
        <v>1494142.0867999999</v>
      </c>
      <c r="I33" s="44">
        <v>0</v>
      </c>
      <c r="J33" s="44">
        <v>0</v>
      </c>
      <c r="K33" s="44">
        <v>113095.57700000003</v>
      </c>
      <c r="L33" s="44">
        <v>0</v>
      </c>
      <c r="M33" s="44">
        <v>201605.15900000016</v>
      </c>
      <c r="N33" s="44">
        <v>0</v>
      </c>
      <c r="O33" s="44">
        <v>2122.4232000000002</v>
      </c>
      <c r="P33" s="44">
        <v>1144.0011999999997</v>
      </c>
      <c r="Q33" s="44">
        <v>3125.933300000002</v>
      </c>
      <c r="R33" s="44">
        <v>66678.215100000045</v>
      </c>
      <c r="S33" s="44">
        <v>113697.67199999993</v>
      </c>
      <c r="T33" s="44">
        <v>27295.471999999994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90120.81990476184</v>
      </c>
      <c r="AB33" s="44">
        <v>0</v>
      </c>
      <c r="AC33" s="44">
        <v>131093.88515176807</v>
      </c>
      <c r="AD33" s="44">
        <v>0</v>
      </c>
      <c r="AE33" s="44">
        <v>0</v>
      </c>
      <c r="AF33" s="44">
        <v>0</v>
      </c>
      <c r="AG33" s="44">
        <v>138243.54</v>
      </c>
      <c r="AH33" s="44">
        <v>0</v>
      </c>
      <c r="AI33" s="44">
        <v>0</v>
      </c>
      <c r="AJ33" s="44">
        <v>0</v>
      </c>
      <c r="AK33" s="44">
        <v>58299.648000000001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0</v>
      </c>
      <c r="AT33" s="44">
        <v>1494142.0867999999</v>
      </c>
      <c r="AU33" s="44">
        <v>749979.15785653004</v>
      </c>
      <c r="AV33" s="44">
        <v>196543.18800000002</v>
      </c>
      <c r="AW33" s="44">
        <v>470183.21589176811</v>
      </c>
      <c r="AX33" s="62">
        <v>2440664.4326565303</v>
      </c>
      <c r="AY33" s="62">
        <v>2382364.7846565302</v>
      </c>
      <c r="AZ33" s="62">
        <v>4610</v>
      </c>
      <c r="BA33" s="62">
        <v>1926980</v>
      </c>
      <c r="BB33" s="62">
        <v>0</v>
      </c>
      <c r="BC33" s="62">
        <v>0</v>
      </c>
      <c r="BD33" s="62">
        <v>2440664.4326565303</v>
      </c>
      <c r="BE33" s="44">
        <v>2440664.4326565303</v>
      </c>
      <c r="BF33" s="44">
        <v>0</v>
      </c>
      <c r="BG33" s="62">
        <v>1985279.648</v>
      </c>
      <c r="BH33" s="62">
        <v>1788736.46</v>
      </c>
      <c r="BI33" s="44">
        <v>2244121.2446565302</v>
      </c>
      <c r="BJ33" s="44">
        <v>5368.7111116184933</v>
      </c>
      <c r="BK33" s="44">
        <v>5264.929061428571</v>
      </c>
      <c r="BL33" s="45">
        <v>1.9711956035692983E-2</v>
      </c>
      <c r="BM33" s="45">
        <v>0</v>
      </c>
      <c r="BN33" s="44">
        <v>0</v>
      </c>
      <c r="BO33" s="62">
        <v>2440664.4326565303</v>
      </c>
      <c r="BP33" s="62">
        <v>5699.4372838672971</v>
      </c>
      <c r="BQ33" s="62" t="s">
        <v>92</v>
      </c>
      <c r="BR33" s="62">
        <v>5838.9101259725603</v>
      </c>
      <c r="BS33" s="53">
        <v>1.9212257296462143E-2</v>
      </c>
      <c r="BT33" s="44">
        <v>-10479.26</v>
      </c>
      <c r="BU33" s="44">
        <v>2430185.1726565305</v>
      </c>
      <c r="BV33" s="44">
        <v>0</v>
      </c>
      <c r="BW33" s="44">
        <v>2430185.1726565305</v>
      </c>
      <c r="BX33" s="44">
        <v>58299.648000000001</v>
      </c>
      <c r="BY33" s="44">
        <v>2371885.5246565305</v>
      </c>
    </row>
    <row r="34" spans="1:77">
      <c r="A34">
        <v>2128</v>
      </c>
      <c r="B34" s="60">
        <v>103228</v>
      </c>
      <c r="C34" s="60">
        <v>3302128</v>
      </c>
      <c r="D34" s="61" t="s">
        <v>324</v>
      </c>
      <c r="E34" s="52">
        <v>370</v>
      </c>
      <c r="F34" s="52">
        <v>370</v>
      </c>
      <c r="G34" s="52">
        <v>0</v>
      </c>
      <c r="H34" s="44">
        <v>1322565.9619999998</v>
      </c>
      <c r="I34" s="44">
        <v>0</v>
      </c>
      <c r="J34" s="44">
        <v>0</v>
      </c>
      <c r="K34" s="44">
        <v>59006.387999999941</v>
      </c>
      <c r="L34" s="44">
        <v>0</v>
      </c>
      <c r="M34" s="44">
        <v>99568.262199999997</v>
      </c>
      <c r="N34" s="44">
        <v>0</v>
      </c>
      <c r="O34" s="44">
        <v>19390.039111111091</v>
      </c>
      <c r="P34" s="44">
        <v>10610.688636856357</v>
      </c>
      <c r="Q34" s="44">
        <v>3134.4046639566363</v>
      </c>
      <c r="R34" s="44">
        <v>9272.4042520325293</v>
      </c>
      <c r="S34" s="44">
        <v>23837.575479674771</v>
      </c>
      <c r="T34" s="44">
        <v>3421.1804336043328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15393.843400000007</v>
      </c>
      <c r="AB34" s="44">
        <v>0</v>
      </c>
      <c r="AC34" s="44">
        <v>119699.81333989678</v>
      </c>
      <c r="AD34" s="44">
        <v>0</v>
      </c>
      <c r="AE34" s="44">
        <v>0</v>
      </c>
      <c r="AF34" s="44">
        <v>0</v>
      </c>
      <c r="AG34" s="44">
        <v>138243.54</v>
      </c>
      <c r="AH34" s="44">
        <v>0</v>
      </c>
      <c r="AI34" s="44">
        <v>0</v>
      </c>
      <c r="AJ34" s="44">
        <v>0</v>
      </c>
      <c r="AK34" s="44">
        <v>19016.282299999999</v>
      </c>
      <c r="AL34" s="44">
        <v>0</v>
      </c>
      <c r="AM34" s="44">
        <v>0</v>
      </c>
      <c r="AN34" s="44">
        <v>0</v>
      </c>
      <c r="AO34" s="44">
        <v>0</v>
      </c>
      <c r="AP34" s="44">
        <v>0</v>
      </c>
      <c r="AQ34" s="44">
        <v>0</v>
      </c>
      <c r="AR34" s="44">
        <v>0</v>
      </c>
      <c r="AS34" s="44">
        <v>0</v>
      </c>
      <c r="AT34" s="44">
        <v>1322565.9619999998</v>
      </c>
      <c r="AU34" s="44">
        <v>363334.59951713245</v>
      </c>
      <c r="AV34" s="44">
        <v>157259.8223</v>
      </c>
      <c r="AW34" s="44">
        <v>299948.58282851463</v>
      </c>
      <c r="AX34" s="62">
        <v>1843160.3838171321</v>
      </c>
      <c r="AY34" s="62">
        <v>1824144.101517132</v>
      </c>
      <c r="AZ34" s="62">
        <v>4610</v>
      </c>
      <c r="BA34" s="62">
        <v>1705700</v>
      </c>
      <c r="BB34" s="62">
        <v>0</v>
      </c>
      <c r="BC34" s="62">
        <v>0</v>
      </c>
      <c r="BD34" s="62">
        <v>1843160.3838171321</v>
      </c>
      <c r="BE34" s="44">
        <v>1843160.3838171326</v>
      </c>
      <c r="BF34" s="44">
        <v>0</v>
      </c>
      <c r="BG34" s="62">
        <v>1724716.2823000001</v>
      </c>
      <c r="BH34" s="62">
        <v>1567456.46</v>
      </c>
      <c r="BI34" s="44">
        <v>1685900.561517132</v>
      </c>
      <c r="BJ34" s="44">
        <v>4556.4880041003571</v>
      </c>
      <c r="BK34" s="44">
        <v>4473.6424977777779</v>
      </c>
      <c r="BL34" s="45">
        <v>1.8518579963359084E-2</v>
      </c>
      <c r="BM34" s="45">
        <v>0</v>
      </c>
      <c r="BN34" s="44">
        <v>0</v>
      </c>
      <c r="BO34" s="62">
        <v>1843160.3838171321</v>
      </c>
      <c r="BP34" s="62">
        <v>4930.1191932895463</v>
      </c>
      <c r="BQ34" s="62" t="s">
        <v>92</v>
      </c>
      <c r="BR34" s="62">
        <v>4981.514550857114</v>
      </c>
      <c r="BS34" s="53">
        <v>1.4784820100861351E-2</v>
      </c>
      <c r="BT34" s="44">
        <v>-9275.9</v>
      </c>
      <c r="BU34" s="44">
        <v>1833884.4838171322</v>
      </c>
      <c r="BV34" s="44">
        <v>0</v>
      </c>
      <c r="BW34" s="44">
        <v>1833884.4838171322</v>
      </c>
      <c r="BX34" s="44">
        <v>19016.282299999999</v>
      </c>
      <c r="BY34" s="44">
        <v>1814868.2015171321</v>
      </c>
    </row>
    <row r="35" spans="1:77">
      <c r="A35">
        <v>2129</v>
      </c>
      <c r="B35" s="60">
        <v>103229</v>
      </c>
      <c r="C35" s="60">
        <v>3302129</v>
      </c>
      <c r="D35" s="61" t="s">
        <v>321</v>
      </c>
      <c r="E35" s="52">
        <v>261</v>
      </c>
      <c r="F35" s="52">
        <v>261</v>
      </c>
      <c r="G35" s="52">
        <v>0</v>
      </c>
      <c r="H35" s="44">
        <v>932945.17859999998</v>
      </c>
      <c r="I35" s="44">
        <v>0</v>
      </c>
      <c r="J35" s="44">
        <v>0</v>
      </c>
      <c r="K35" s="44">
        <v>28519.754199999967</v>
      </c>
      <c r="L35" s="44">
        <v>0</v>
      </c>
      <c r="M35" s="44">
        <v>48549.813799999938</v>
      </c>
      <c r="N35" s="44">
        <v>0</v>
      </c>
      <c r="O35" s="44">
        <v>14677.372744615357</v>
      </c>
      <c r="P35" s="44">
        <v>8038.8084323077146</v>
      </c>
      <c r="Q35" s="44">
        <v>2689.6766746153871</v>
      </c>
      <c r="R35" s="44">
        <v>7817.1877107692253</v>
      </c>
      <c r="S35" s="44">
        <v>12451.087716923075</v>
      </c>
      <c r="T35" s="44">
        <v>1370.0227292307688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18083.356956383032</v>
      </c>
      <c r="AB35" s="44">
        <v>0</v>
      </c>
      <c r="AC35" s="44">
        <v>89934.020814130461</v>
      </c>
      <c r="AD35" s="44">
        <v>0</v>
      </c>
      <c r="AE35" s="44">
        <v>0</v>
      </c>
      <c r="AF35" s="44">
        <v>0</v>
      </c>
      <c r="AG35" s="44">
        <v>138243.54</v>
      </c>
      <c r="AH35" s="44">
        <v>0</v>
      </c>
      <c r="AI35" s="44">
        <v>0</v>
      </c>
      <c r="AJ35" s="44">
        <v>0</v>
      </c>
      <c r="AK35" s="44">
        <v>17553.496899999998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S35" s="44">
        <v>0</v>
      </c>
      <c r="AT35" s="44">
        <v>932945.17859999998</v>
      </c>
      <c r="AU35" s="44">
        <v>232131.10177897496</v>
      </c>
      <c r="AV35" s="44">
        <v>155797.03690000001</v>
      </c>
      <c r="AW35" s="44">
        <v>198638.14174836117</v>
      </c>
      <c r="AX35" s="62">
        <v>1320873.3172789749</v>
      </c>
      <c r="AY35" s="62">
        <v>1303319.820378975</v>
      </c>
      <c r="AZ35" s="62">
        <v>4610</v>
      </c>
      <c r="BA35" s="62">
        <v>1203210</v>
      </c>
      <c r="BB35" s="62">
        <v>0</v>
      </c>
      <c r="BC35" s="62">
        <v>0</v>
      </c>
      <c r="BD35" s="62">
        <v>1320873.3172789749</v>
      </c>
      <c r="BE35" s="44">
        <v>1320873.3172789747</v>
      </c>
      <c r="BF35" s="44">
        <v>0</v>
      </c>
      <c r="BG35" s="62">
        <v>1220763.4968999999</v>
      </c>
      <c r="BH35" s="62">
        <v>1064966.46</v>
      </c>
      <c r="BI35" s="44">
        <v>1165076.280378975</v>
      </c>
      <c r="BJ35" s="44">
        <v>4463.8937945554599</v>
      </c>
      <c r="BK35" s="44">
        <v>4502.9748299999992</v>
      </c>
      <c r="BL35" s="45">
        <v>-8.6789371293330871E-3</v>
      </c>
      <c r="BM35" s="45">
        <v>1.3678937129333088E-2</v>
      </c>
      <c r="BN35" s="44">
        <v>16076.532404174766</v>
      </c>
      <c r="BO35" s="62">
        <v>1336949.8496831497</v>
      </c>
      <c r="BP35" s="62">
        <v>5055.1584397821835</v>
      </c>
      <c r="BQ35" s="62" t="s">
        <v>92</v>
      </c>
      <c r="BR35" s="62">
        <v>5122.4132171768188</v>
      </c>
      <c r="BS35" s="53">
        <v>1.2821649853437034E-2</v>
      </c>
      <c r="BT35" s="44">
        <v>-6543.27</v>
      </c>
      <c r="BU35" s="44">
        <v>1330406.5796831497</v>
      </c>
      <c r="BV35" s="44">
        <v>0</v>
      </c>
      <c r="BW35" s="44">
        <v>1330406.5796831497</v>
      </c>
      <c r="BX35" s="44">
        <v>17553.496899999998</v>
      </c>
      <c r="BY35" s="44">
        <v>1312853.0827831498</v>
      </c>
    </row>
    <row r="36" spans="1:77">
      <c r="A36">
        <v>2133</v>
      </c>
      <c r="B36" s="60">
        <v>103233</v>
      </c>
      <c r="C36" s="60">
        <v>3302133</v>
      </c>
      <c r="D36" s="61" t="s">
        <v>327</v>
      </c>
      <c r="E36" s="52">
        <v>418</v>
      </c>
      <c r="F36" s="52">
        <v>418</v>
      </c>
      <c r="G36" s="52">
        <v>0</v>
      </c>
      <c r="H36" s="44">
        <v>1494142.0867999999</v>
      </c>
      <c r="I36" s="44">
        <v>0</v>
      </c>
      <c r="J36" s="44">
        <v>0</v>
      </c>
      <c r="K36" s="44">
        <v>86542.702399999936</v>
      </c>
      <c r="L36" s="44">
        <v>0</v>
      </c>
      <c r="M36" s="44">
        <v>146472.3196000001</v>
      </c>
      <c r="N36" s="44">
        <v>0</v>
      </c>
      <c r="O36" s="44">
        <v>19337.633600000023</v>
      </c>
      <c r="P36" s="44">
        <v>7722.0080999999991</v>
      </c>
      <c r="Q36" s="44">
        <v>2232.8095000000044</v>
      </c>
      <c r="R36" s="44">
        <v>38936.183999999907</v>
      </c>
      <c r="S36" s="44">
        <v>39794.185199999898</v>
      </c>
      <c r="T36" s="44">
        <v>41625.594800000006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28953.751310306408</v>
      </c>
      <c r="AB36" s="44">
        <v>0</v>
      </c>
      <c r="AC36" s="44">
        <v>145866.13804214561</v>
      </c>
      <c r="AD36" s="44">
        <v>0</v>
      </c>
      <c r="AE36" s="44">
        <v>0</v>
      </c>
      <c r="AF36" s="44">
        <v>0</v>
      </c>
      <c r="AG36" s="44">
        <v>138243.54</v>
      </c>
      <c r="AH36" s="44">
        <v>0</v>
      </c>
      <c r="AI36" s="44">
        <v>0</v>
      </c>
      <c r="AJ36" s="44">
        <v>0</v>
      </c>
      <c r="AK36" s="44">
        <v>46374.720000000001</v>
      </c>
      <c r="AL36" s="44">
        <v>281869.44</v>
      </c>
      <c r="AM36" s="44">
        <v>0</v>
      </c>
      <c r="AN36" s="44">
        <v>0</v>
      </c>
      <c r="AO36" s="44">
        <v>0</v>
      </c>
      <c r="AP36" s="44">
        <v>0</v>
      </c>
      <c r="AQ36" s="44">
        <v>0</v>
      </c>
      <c r="AR36" s="44">
        <v>0</v>
      </c>
      <c r="AS36" s="44">
        <v>0</v>
      </c>
      <c r="AT36" s="44">
        <v>1494142.0867999999</v>
      </c>
      <c r="AU36" s="44">
        <v>557483.32655245194</v>
      </c>
      <c r="AV36" s="44">
        <v>466487.7</v>
      </c>
      <c r="AW36" s="44">
        <v>411904.96098214551</v>
      </c>
      <c r="AX36" s="62">
        <v>2518113.1133524519</v>
      </c>
      <c r="AY36" s="62">
        <v>2189868.9533524518</v>
      </c>
      <c r="AZ36" s="62">
        <v>4610</v>
      </c>
      <c r="BA36" s="62">
        <v>1926980</v>
      </c>
      <c r="BB36" s="62">
        <v>0</v>
      </c>
      <c r="BC36" s="62">
        <v>0</v>
      </c>
      <c r="BD36" s="62">
        <v>2518113.1133524519</v>
      </c>
      <c r="BE36" s="44">
        <v>2518113.1133524519</v>
      </c>
      <c r="BF36" s="44">
        <v>0</v>
      </c>
      <c r="BG36" s="62">
        <v>2255224.16</v>
      </c>
      <c r="BH36" s="62">
        <v>2070605.9000000001</v>
      </c>
      <c r="BI36" s="44">
        <v>2333494.8533524517</v>
      </c>
      <c r="BJ36" s="44">
        <v>5582.5235726135206</v>
      </c>
      <c r="BK36" s="44">
        <v>5511.2549141826912</v>
      </c>
      <c r="BL36" s="45">
        <v>1.2931475596860217E-2</v>
      </c>
      <c r="BM36" s="45">
        <v>0</v>
      </c>
      <c r="BN36" s="44">
        <v>0</v>
      </c>
      <c r="BO36" s="62">
        <v>2518113.1133524519</v>
      </c>
      <c r="BP36" s="62">
        <v>5238.9209410345738</v>
      </c>
      <c r="BQ36" s="62" t="s">
        <v>92</v>
      </c>
      <c r="BR36" s="62">
        <v>6024.1940510824206</v>
      </c>
      <c r="BS36" s="53">
        <v>1.2163067108170278E-2</v>
      </c>
      <c r="BT36" s="44">
        <v>-10479.26</v>
      </c>
      <c r="BU36" s="44">
        <v>2507633.8533524522</v>
      </c>
      <c r="BV36" s="44">
        <v>0</v>
      </c>
      <c r="BW36" s="44">
        <v>2507633.8533524522</v>
      </c>
      <c r="BX36" s="44">
        <v>46374.720000000001</v>
      </c>
      <c r="BY36" s="44">
        <v>2461259.133352452</v>
      </c>
    </row>
    <row r="37" spans="1:77">
      <c r="A37">
        <v>2142</v>
      </c>
      <c r="B37" s="60">
        <v>103237</v>
      </c>
      <c r="C37" s="60">
        <v>3302142</v>
      </c>
      <c r="D37" s="61" t="s">
        <v>867</v>
      </c>
      <c r="E37" s="52">
        <v>417</v>
      </c>
      <c r="F37" s="52">
        <v>417</v>
      </c>
      <c r="G37" s="52">
        <v>0</v>
      </c>
      <c r="H37" s="44">
        <v>1490567.5841999999</v>
      </c>
      <c r="I37" s="44">
        <v>0</v>
      </c>
      <c r="J37" s="44">
        <v>0</v>
      </c>
      <c r="K37" s="44">
        <v>88017.862100000086</v>
      </c>
      <c r="L37" s="44">
        <v>0</v>
      </c>
      <c r="M37" s="44">
        <v>158815.49259999994</v>
      </c>
      <c r="N37" s="44">
        <v>0</v>
      </c>
      <c r="O37" s="44">
        <v>1650.7736000000025</v>
      </c>
      <c r="P37" s="44">
        <v>2288.0024000000044</v>
      </c>
      <c r="Q37" s="44">
        <v>24114.342600000029</v>
      </c>
      <c r="R37" s="44">
        <v>9734.0459999999894</v>
      </c>
      <c r="S37" s="44">
        <v>18088.266000000003</v>
      </c>
      <c r="T37" s="44">
        <v>131700.65239999996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118259.94304285703</v>
      </c>
      <c r="AB37" s="44">
        <v>0</v>
      </c>
      <c r="AC37" s="44">
        <v>208651.4148073667</v>
      </c>
      <c r="AD37" s="44">
        <v>0</v>
      </c>
      <c r="AE37" s="44">
        <v>12592.537515692291</v>
      </c>
      <c r="AF37" s="44">
        <v>0</v>
      </c>
      <c r="AG37" s="44">
        <v>138243.54</v>
      </c>
      <c r="AH37" s="44">
        <v>0</v>
      </c>
      <c r="AI37" s="44">
        <v>0</v>
      </c>
      <c r="AJ37" s="44">
        <v>0</v>
      </c>
      <c r="AK37" s="44">
        <v>23115.156999999999</v>
      </c>
      <c r="AL37" s="44">
        <v>0</v>
      </c>
      <c r="AM37" s="44">
        <v>0</v>
      </c>
      <c r="AN37" s="44">
        <v>0</v>
      </c>
      <c r="AO37" s="44">
        <v>0</v>
      </c>
      <c r="AP37" s="44">
        <v>0</v>
      </c>
      <c r="AQ37" s="44">
        <v>0</v>
      </c>
      <c r="AR37" s="44">
        <v>0</v>
      </c>
      <c r="AS37" s="44">
        <v>0</v>
      </c>
      <c r="AT37" s="44">
        <v>1490567.5841999999</v>
      </c>
      <c r="AU37" s="44">
        <v>773913.33306591597</v>
      </c>
      <c r="AV37" s="44">
        <v>161358.69700000001</v>
      </c>
      <c r="AW37" s="44">
        <v>500384.51286736666</v>
      </c>
      <c r="AX37" s="62">
        <v>2425839.6142659159</v>
      </c>
      <c r="AY37" s="62">
        <v>2402724.4572659158</v>
      </c>
      <c r="AZ37" s="62">
        <v>4610</v>
      </c>
      <c r="BA37" s="62">
        <v>1922370</v>
      </c>
      <c r="BB37" s="62">
        <v>0</v>
      </c>
      <c r="BC37" s="62">
        <v>0</v>
      </c>
      <c r="BD37" s="62">
        <v>2425839.6142659159</v>
      </c>
      <c r="BE37" s="44">
        <v>2425839.6142659169</v>
      </c>
      <c r="BF37" s="44">
        <v>0</v>
      </c>
      <c r="BG37" s="62">
        <v>1945485.1569999999</v>
      </c>
      <c r="BH37" s="62">
        <v>1784126.46</v>
      </c>
      <c r="BI37" s="44">
        <v>2264480.9172659158</v>
      </c>
      <c r="BJ37" s="44">
        <v>5430.4098735393663</v>
      </c>
      <c r="BK37" s="44">
        <v>5594.7716794749413</v>
      </c>
      <c r="BL37" s="45">
        <v>-2.9377750398386224E-2</v>
      </c>
      <c r="BM37" s="45">
        <v>3.4377750398386225E-2</v>
      </c>
      <c r="BN37" s="44">
        <v>80203.972026839998</v>
      </c>
      <c r="BO37" s="62">
        <v>2506043.5862927558</v>
      </c>
      <c r="BP37" s="62">
        <v>5954.2648184478558</v>
      </c>
      <c r="BQ37" s="62" t="s">
        <v>92</v>
      </c>
      <c r="BR37" s="62">
        <v>6009.6968496229156</v>
      </c>
      <c r="BS37" s="53">
        <v>5.2569898066219256E-3</v>
      </c>
      <c r="BT37" s="44">
        <v>-10454.19</v>
      </c>
      <c r="BU37" s="44">
        <v>2495589.3962927558</v>
      </c>
      <c r="BV37" s="44">
        <v>0</v>
      </c>
      <c r="BW37" s="44">
        <v>2495589.3962927558</v>
      </c>
      <c r="BX37" s="44">
        <v>23115.156999999999</v>
      </c>
      <c r="BY37" s="44">
        <v>2472474.2392927557</v>
      </c>
    </row>
    <row r="38" spans="1:77">
      <c r="A38">
        <v>2149</v>
      </c>
      <c r="B38" s="60">
        <v>103240</v>
      </c>
      <c r="C38" s="60">
        <v>3302149</v>
      </c>
      <c r="D38" s="61" t="s">
        <v>739</v>
      </c>
      <c r="E38" s="52">
        <v>371</v>
      </c>
      <c r="F38" s="52">
        <v>371</v>
      </c>
      <c r="G38" s="52">
        <v>0</v>
      </c>
      <c r="H38" s="44">
        <v>1326140.4645999998</v>
      </c>
      <c r="I38" s="44">
        <v>0</v>
      </c>
      <c r="J38" s="44">
        <v>0</v>
      </c>
      <c r="K38" s="44">
        <v>82117.223300000027</v>
      </c>
      <c r="L38" s="44">
        <v>0</v>
      </c>
      <c r="M38" s="44">
        <v>140712.17220000015</v>
      </c>
      <c r="N38" s="44">
        <v>0</v>
      </c>
      <c r="O38" s="44">
        <v>34194.59600000002</v>
      </c>
      <c r="P38" s="44">
        <v>5434.0056999999952</v>
      </c>
      <c r="Q38" s="44">
        <v>4465.618999999996</v>
      </c>
      <c r="R38" s="44">
        <v>31148.947199999926</v>
      </c>
      <c r="S38" s="44">
        <v>27907.610399999947</v>
      </c>
      <c r="T38" s="44">
        <v>15012.509600000007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43005.390823795075</v>
      </c>
      <c r="AB38" s="44">
        <v>0</v>
      </c>
      <c r="AC38" s="44">
        <v>189566.84891815754</v>
      </c>
      <c r="AD38" s="44">
        <v>0</v>
      </c>
      <c r="AE38" s="44">
        <v>16126.80710399997</v>
      </c>
      <c r="AF38" s="44">
        <v>0</v>
      </c>
      <c r="AG38" s="44">
        <v>138243.54</v>
      </c>
      <c r="AH38" s="44">
        <v>0</v>
      </c>
      <c r="AI38" s="44">
        <v>0</v>
      </c>
      <c r="AJ38" s="44">
        <v>0</v>
      </c>
      <c r="AK38" s="44">
        <v>32800.277900000001</v>
      </c>
      <c r="AL38" s="44">
        <v>0</v>
      </c>
      <c r="AM38" s="44">
        <v>0</v>
      </c>
      <c r="AN38" s="44">
        <v>0</v>
      </c>
      <c r="AO38" s="44">
        <v>0</v>
      </c>
      <c r="AP38" s="44">
        <v>0</v>
      </c>
      <c r="AQ38" s="44">
        <v>0</v>
      </c>
      <c r="AR38" s="44">
        <v>0</v>
      </c>
      <c r="AS38" s="44">
        <v>0</v>
      </c>
      <c r="AT38" s="44">
        <v>1326140.4645999998</v>
      </c>
      <c r="AU38" s="44">
        <v>589691.73024595261</v>
      </c>
      <c r="AV38" s="44">
        <v>171043.81790000002</v>
      </c>
      <c r="AW38" s="44">
        <v>426370.21384815755</v>
      </c>
      <c r="AX38" s="62">
        <v>2086876.0127459527</v>
      </c>
      <c r="AY38" s="62">
        <v>2054075.7348459526</v>
      </c>
      <c r="AZ38" s="62">
        <v>4610</v>
      </c>
      <c r="BA38" s="62">
        <v>1710310</v>
      </c>
      <c r="BB38" s="62">
        <v>0</v>
      </c>
      <c r="BC38" s="62">
        <v>0</v>
      </c>
      <c r="BD38" s="62">
        <v>2086876.0127459527</v>
      </c>
      <c r="BE38" s="44">
        <v>2086876.0127459522</v>
      </c>
      <c r="BF38" s="44">
        <v>0</v>
      </c>
      <c r="BG38" s="62">
        <v>1743110.2779000001</v>
      </c>
      <c r="BH38" s="62">
        <v>1572066.46</v>
      </c>
      <c r="BI38" s="44">
        <v>1915832.1948459526</v>
      </c>
      <c r="BJ38" s="44">
        <v>5163.9681801777697</v>
      </c>
      <c r="BK38" s="44">
        <v>5160.9464795640333</v>
      </c>
      <c r="BL38" s="45">
        <v>5.8549349924504784E-4</v>
      </c>
      <c r="BM38" s="45">
        <v>4.4145065007549526E-3</v>
      </c>
      <c r="BN38" s="44">
        <v>8452.5047918950931</v>
      </c>
      <c r="BO38" s="62">
        <v>2095328.5175378479</v>
      </c>
      <c r="BP38" s="62">
        <v>5559.3753089968941</v>
      </c>
      <c r="BQ38" s="62" t="s">
        <v>92</v>
      </c>
      <c r="BR38" s="62">
        <v>5647.7857615575413</v>
      </c>
      <c r="BS38" s="53">
        <v>4.1574121368210815E-3</v>
      </c>
      <c r="BT38" s="44">
        <v>-9300.9699999999993</v>
      </c>
      <c r="BU38" s="44">
        <v>2086027.5475378479</v>
      </c>
      <c r="BV38" s="44">
        <v>0</v>
      </c>
      <c r="BW38" s="44">
        <v>2086027.5475378479</v>
      </c>
      <c r="BX38" s="44">
        <v>32800.277900000001</v>
      </c>
      <c r="BY38" s="44">
        <v>2053227.2696378478</v>
      </c>
    </row>
    <row r="39" spans="1:77">
      <c r="A39">
        <v>2150</v>
      </c>
      <c r="B39" s="60">
        <v>103241</v>
      </c>
      <c r="C39" s="60">
        <v>3302150</v>
      </c>
      <c r="D39" s="61" t="s">
        <v>742</v>
      </c>
      <c r="E39" s="52">
        <v>272</v>
      </c>
      <c r="F39" s="52">
        <v>272</v>
      </c>
      <c r="G39" s="52">
        <v>0</v>
      </c>
      <c r="H39" s="44">
        <v>972264.70719999995</v>
      </c>
      <c r="I39" s="44">
        <v>0</v>
      </c>
      <c r="J39" s="44">
        <v>0</v>
      </c>
      <c r="K39" s="44">
        <v>59498.107900000054</v>
      </c>
      <c r="L39" s="44">
        <v>0</v>
      </c>
      <c r="M39" s="44">
        <v>105328.40960000007</v>
      </c>
      <c r="N39" s="44">
        <v>0</v>
      </c>
      <c r="O39" s="44">
        <v>6367.2695999999969</v>
      </c>
      <c r="P39" s="44">
        <v>10296.010800000033</v>
      </c>
      <c r="Q39" s="44">
        <v>6251.8665999999985</v>
      </c>
      <c r="R39" s="44">
        <v>43316.504699999976</v>
      </c>
      <c r="S39" s="44">
        <v>29974.840799999991</v>
      </c>
      <c r="T39" s="44">
        <v>6823.8679999999931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21960.447927272668</v>
      </c>
      <c r="AB39" s="44">
        <v>0</v>
      </c>
      <c r="AC39" s="44">
        <v>107686.57083826084</v>
      </c>
      <c r="AD39" s="44">
        <v>0</v>
      </c>
      <c r="AE39" s="44">
        <v>0</v>
      </c>
      <c r="AF39" s="44">
        <v>0</v>
      </c>
      <c r="AG39" s="44">
        <v>138243.54</v>
      </c>
      <c r="AH39" s="44">
        <v>0</v>
      </c>
      <c r="AI39" s="44">
        <v>0</v>
      </c>
      <c r="AJ39" s="44">
        <v>0</v>
      </c>
      <c r="AK39" s="44">
        <v>35244.787199999999</v>
      </c>
      <c r="AL39" s="44">
        <v>0</v>
      </c>
      <c r="AM39" s="44">
        <v>0</v>
      </c>
      <c r="AN39" s="44">
        <v>0</v>
      </c>
      <c r="AO39" s="44">
        <v>0</v>
      </c>
      <c r="AP39" s="44">
        <v>0</v>
      </c>
      <c r="AQ39" s="44">
        <v>0</v>
      </c>
      <c r="AR39" s="44">
        <v>0</v>
      </c>
      <c r="AS39" s="44">
        <v>0</v>
      </c>
      <c r="AT39" s="44">
        <v>972264.70719999995</v>
      </c>
      <c r="AU39" s="44">
        <v>397503.89676553372</v>
      </c>
      <c r="AV39" s="44">
        <v>173488.3272</v>
      </c>
      <c r="AW39" s="44">
        <v>290228.24519826093</v>
      </c>
      <c r="AX39" s="62">
        <v>1543256.9311655336</v>
      </c>
      <c r="AY39" s="62">
        <v>1508012.1439655337</v>
      </c>
      <c r="AZ39" s="62">
        <v>4610</v>
      </c>
      <c r="BA39" s="62">
        <v>1253920</v>
      </c>
      <c r="BB39" s="62">
        <v>0</v>
      </c>
      <c r="BC39" s="62">
        <v>0</v>
      </c>
      <c r="BD39" s="62">
        <v>1543256.9311655336</v>
      </c>
      <c r="BE39" s="44">
        <v>1543256.9311655336</v>
      </c>
      <c r="BF39" s="44">
        <v>0</v>
      </c>
      <c r="BG39" s="62">
        <v>1289164.7871999999</v>
      </c>
      <c r="BH39" s="62">
        <v>1115676.46</v>
      </c>
      <c r="BI39" s="44">
        <v>1369768.6039655337</v>
      </c>
      <c r="BJ39" s="44">
        <v>5035.9139851674036</v>
      </c>
      <c r="BK39" s="44">
        <v>4983.723928797468</v>
      </c>
      <c r="BL39" s="45">
        <v>1.0472100203698192E-2</v>
      </c>
      <c r="BM39" s="45">
        <v>0</v>
      </c>
      <c r="BN39" s="44">
        <v>0</v>
      </c>
      <c r="BO39" s="62">
        <v>1543256.9311655336</v>
      </c>
      <c r="BP39" s="62">
        <v>5544.162293990933</v>
      </c>
      <c r="BQ39" s="62" t="s">
        <v>92</v>
      </c>
      <c r="BR39" s="62">
        <v>5673.7387175203439</v>
      </c>
      <c r="BS39" s="53">
        <v>2.6087340203748921E-2</v>
      </c>
      <c r="BT39" s="44">
        <v>-6819.04</v>
      </c>
      <c r="BU39" s="44">
        <v>1536437.8911655336</v>
      </c>
      <c r="BV39" s="44">
        <v>0</v>
      </c>
      <c r="BW39" s="44">
        <v>1536437.8911655336</v>
      </c>
      <c r="BX39" s="44">
        <v>35244.787199999999</v>
      </c>
      <c r="BY39" s="44">
        <v>1501193.1039655337</v>
      </c>
    </row>
    <row r="40" spans="1:77">
      <c r="A40">
        <v>2153</v>
      </c>
      <c r="B40" s="60">
        <v>103243</v>
      </c>
      <c r="C40" s="60">
        <v>3302153</v>
      </c>
      <c r="D40" s="61" t="s">
        <v>416</v>
      </c>
      <c r="E40" s="52">
        <v>414</v>
      </c>
      <c r="F40" s="52">
        <v>414</v>
      </c>
      <c r="G40" s="52">
        <v>0</v>
      </c>
      <c r="H40" s="44">
        <v>1479844.0763999999</v>
      </c>
      <c r="I40" s="44">
        <v>0</v>
      </c>
      <c r="J40" s="44">
        <v>0</v>
      </c>
      <c r="K40" s="44">
        <v>111128.69739999995</v>
      </c>
      <c r="L40" s="44">
        <v>0</v>
      </c>
      <c r="M40" s="44">
        <v>186793.35139999987</v>
      </c>
      <c r="N40" s="44">
        <v>0</v>
      </c>
      <c r="O40" s="44">
        <v>1886.598399999996</v>
      </c>
      <c r="P40" s="44">
        <v>29744.031199999994</v>
      </c>
      <c r="Q40" s="44">
        <v>16522.790300000001</v>
      </c>
      <c r="R40" s="44">
        <v>3893.6183999999912</v>
      </c>
      <c r="S40" s="44">
        <v>91474.945200000002</v>
      </c>
      <c r="T40" s="44">
        <v>12282.962399999995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44693.762297435816</v>
      </c>
      <c r="AB40" s="44">
        <v>0</v>
      </c>
      <c r="AC40" s="44">
        <v>223982.92534288683</v>
      </c>
      <c r="AD40" s="44">
        <v>0</v>
      </c>
      <c r="AE40" s="44">
        <v>15568.052736000011</v>
      </c>
      <c r="AF40" s="44">
        <v>0</v>
      </c>
      <c r="AG40" s="44">
        <v>138243.54</v>
      </c>
      <c r="AH40" s="44">
        <v>0</v>
      </c>
      <c r="AI40" s="44">
        <v>0</v>
      </c>
      <c r="AJ40" s="44">
        <v>0</v>
      </c>
      <c r="AK40" s="44">
        <v>24708.453699999998</v>
      </c>
      <c r="AL40" s="44">
        <v>0</v>
      </c>
      <c r="AM40" s="44">
        <v>0</v>
      </c>
      <c r="AN40" s="44">
        <v>0</v>
      </c>
      <c r="AO40" s="44">
        <v>0</v>
      </c>
      <c r="AP40" s="44">
        <v>0</v>
      </c>
      <c r="AQ40" s="44">
        <v>0</v>
      </c>
      <c r="AR40" s="44">
        <v>0</v>
      </c>
      <c r="AS40" s="44">
        <v>0</v>
      </c>
      <c r="AT40" s="44">
        <v>1479844.0763999999</v>
      </c>
      <c r="AU40" s="44">
        <v>737971.73507632257</v>
      </c>
      <c r="AV40" s="44">
        <v>162951.99369999999</v>
      </c>
      <c r="AW40" s="44">
        <v>524838.62651288672</v>
      </c>
      <c r="AX40" s="62">
        <v>2380767.8051763223</v>
      </c>
      <c r="AY40" s="62">
        <v>2356059.3514763224</v>
      </c>
      <c r="AZ40" s="62">
        <v>4610</v>
      </c>
      <c r="BA40" s="62">
        <v>1908540</v>
      </c>
      <c r="BB40" s="62">
        <v>0</v>
      </c>
      <c r="BC40" s="62">
        <v>0</v>
      </c>
      <c r="BD40" s="62">
        <v>2380767.8051763223</v>
      </c>
      <c r="BE40" s="44">
        <v>2380767.8051763228</v>
      </c>
      <c r="BF40" s="44">
        <v>0</v>
      </c>
      <c r="BG40" s="62">
        <v>1933248.4537</v>
      </c>
      <c r="BH40" s="62">
        <v>1770296.46</v>
      </c>
      <c r="BI40" s="44">
        <v>2217815.8114763224</v>
      </c>
      <c r="BJ40" s="44">
        <v>5357.0430228896676</v>
      </c>
      <c r="BK40" s="44">
        <v>5314.5812097619046</v>
      </c>
      <c r="BL40" s="45">
        <v>7.9896818680215993E-3</v>
      </c>
      <c r="BM40" s="45">
        <v>0</v>
      </c>
      <c r="BN40" s="44">
        <v>0</v>
      </c>
      <c r="BO40" s="62">
        <v>2380767.8051763223</v>
      </c>
      <c r="BP40" s="62">
        <v>5690.9646170925662</v>
      </c>
      <c r="BQ40" s="62" t="s">
        <v>92</v>
      </c>
      <c r="BR40" s="62">
        <v>5750.6468724065753</v>
      </c>
      <c r="BS40" s="53">
        <v>8.7352275450511829E-3</v>
      </c>
      <c r="BT40" s="44">
        <v>-10378.98</v>
      </c>
      <c r="BU40" s="44">
        <v>2370388.8251763224</v>
      </c>
      <c r="BV40" s="44">
        <v>0</v>
      </c>
      <c r="BW40" s="44">
        <v>2370388.8251763224</v>
      </c>
      <c r="BX40" s="44">
        <v>24708.453699999998</v>
      </c>
      <c r="BY40" s="44">
        <v>2345680.3714763224</v>
      </c>
    </row>
    <row r="41" spans="1:77">
      <c r="A41">
        <v>2157</v>
      </c>
      <c r="B41" s="60">
        <v>103246</v>
      </c>
      <c r="C41" s="60">
        <v>3302157</v>
      </c>
      <c r="D41" s="61" t="s">
        <v>754</v>
      </c>
      <c r="E41" s="52">
        <v>376</v>
      </c>
      <c r="F41" s="52">
        <v>376</v>
      </c>
      <c r="G41" s="52">
        <v>0</v>
      </c>
      <c r="H41" s="44">
        <v>1344012.9775999999</v>
      </c>
      <c r="I41" s="44">
        <v>0</v>
      </c>
      <c r="J41" s="44">
        <v>0</v>
      </c>
      <c r="K41" s="44">
        <v>41796.191499999994</v>
      </c>
      <c r="L41" s="44">
        <v>0</v>
      </c>
      <c r="M41" s="44">
        <v>73236.159799999848</v>
      </c>
      <c r="N41" s="44">
        <v>0</v>
      </c>
      <c r="O41" s="44">
        <v>2122.4232000000038</v>
      </c>
      <c r="P41" s="44">
        <v>20592.021600000036</v>
      </c>
      <c r="Q41" s="44">
        <v>5358.7428000000036</v>
      </c>
      <c r="R41" s="44">
        <v>11194.15289999999</v>
      </c>
      <c r="S41" s="44">
        <v>24289.957200000001</v>
      </c>
      <c r="T41" s="44">
        <v>6141.4812000000111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33564.043881846206</v>
      </c>
      <c r="AB41" s="44">
        <v>0</v>
      </c>
      <c r="AC41" s="44">
        <v>107104.77977515337</v>
      </c>
      <c r="AD41" s="44">
        <v>0</v>
      </c>
      <c r="AE41" s="44">
        <v>7244.5393920000015</v>
      </c>
      <c r="AF41" s="44">
        <v>0</v>
      </c>
      <c r="AG41" s="44">
        <v>138243.54</v>
      </c>
      <c r="AH41" s="44">
        <v>0</v>
      </c>
      <c r="AI41" s="44">
        <v>0</v>
      </c>
      <c r="AJ41" s="44">
        <v>0</v>
      </c>
      <c r="AK41" s="44">
        <v>27559.833600000002</v>
      </c>
      <c r="AL41" s="44">
        <v>0</v>
      </c>
      <c r="AM41" s="44">
        <v>0</v>
      </c>
      <c r="AN41" s="44">
        <v>0</v>
      </c>
      <c r="AO41" s="44">
        <v>0</v>
      </c>
      <c r="AP41" s="44">
        <v>0</v>
      </c>
      <c r="AQ41" s="44">
        <v>0</v>
      </c>
      <c r="AR41" s="44">
        <v>0</v>
      </c>
      <c r="AS41" s="44">
        <v>0</v>
      </c>
      <c r="AT41" s="44">
        <v>1344012.9775999999</v>
      </c>
      <c r="AU41" s="44">
        <v>332644.49324899947</v>
      </c>
      <c r="AV41" s="44">
        <v>165803.37360000002</v>
      </c>
      <c r="AW41" s="44">
        <v>266670.99375515332</v>
      </c>
      <c r="AX41" s="62">
        <v>1842460.8444489995</v>
      </c>
      <c r="AY41" s="62">
        <v>1814901.0108489995</v>
      </c>
      <c r="AZ41" s="62">
        <v>4610</v>
      </c>
      <c r="BA41" s="62">
        <v>1733360</v>
      </c>
      <c r="BB41" s="62">
        <v>0</v>
      </c>
      <c r="BC41" s="62">
        <v>0</v>
      </c>
      <c r="BD41" s="62">
        <v>1842460.8444489995</v>
      </c>
      <c r="BE41" s="44">
        <v>1842460.8444489995</v>
      </c>
      <c r="BF41" s="44">
        <v>0</v>
      </c>
      <c r="BG41" s="62">
        <v>1760919.8336</v>
      </c>
      <c r="BH41" s="62">
        <v>1595116.46</v>
      </c>
      <c r="BI41" s="44">
        <v>1676657.4708489995</v>
      </c>
      <c r="BJ41" s="44">
        <v>4459.1954011941471</v>
      </c>
      <c r="BK41" s="44">
        <v>4440.3321211488246</v>
      </c>
      <c r="BL41" s="45">
        <v>4.2481687249200685E-3</v>
      </c>
      <c r="BM41" s="45">
        <v>7.518312750799316E-4</v>
      </c>
      <c r="BN41" s="44">
        <v>1255.2310907185586</v>
      </c>
      <c r="BO41" s="62">
        <v>1843716.0755397181</v>
      </c>
      <c r="BP41" s="62">
        <v>4830.2027711162718</v>
      </c>
      <c r="BQ41" s="62" t="s">
        <v>92</v>
      </c>
      <c r="BR41" s="62">
        <v>4903.5002009035061</v>
      </c>
      <c r="BS41" s="53">
        <v>6.6425796613627242E-3</v>
      </c>
      <c r="BT41" s="44">
        <v>-9426.32</v>
      </c>
      <c r="BU41" s="44">
        <v>1834289.7555397181</v>
      </c>
      <c r="BV41" s="44">
        <v>0</v>
      </c>
      <c r="BW41" s="44">
        <v>1834289.7555397181</v>
      </c>
      <c r="BX41" s="44">
        <v>27559.833600000002</v>
      </c>
      <c r="BY41" s="44">
        <v>1806729.9219397181</v>
      </c>
    </row>
    <row r="42" spans="1:77">
      <c r="A42">
        <v>2159</v>
      </c>
      <c r="B42" s="60">
        <v>103247</v>
      </c>
      <c r="C42" s="60">
        <v>3302159</v>
      </c>
      <c r="D42" s="61" t="s">
        <v>757</v>
      </c>
      <c r="E42" s="52">
        <v>202</v>
      </c>
      <c r="F42" s="52">
        <v>202</v>
      </c>
      <c r="G42" s="52">
        <v>0</v>
      </c>
      <c r="H42" s="44">
        <v>722049.52519999992</v>
      </c>
      <c r="I42" s="44">
        <v>0</v>
      </c>
      <c r="J42" s="44">
        <v>0</v>
      </c>
      <c r="K42" s="44">
        <v>42779.631300000037</v>
      </c>
      <c r="L42" s="44">
        <v>0</v>
      </c>
      <c r="M42" s="44">
        <v>76527.672599999933</v>
      </c>
      <c r="N42" s="44">
        <v>0</v>
      </c>
      <c r="O42" s="44">
        <v>2843.9766925373119</v>
      </c>
      <c r="P42" s="44">
        <v>14083.736166169141</v>
      </c>
      <c r="Q42" s="44">
        <v>12565.940827860724</v>
      </c>
      <c r="R42" s="44">
        <v>52336.236379104434</v>
      </c>
      <c r="S42" s="44">
        <v>519.37878208955192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52623.261592000003</v>
      </c>
      <c r="AB42" s="44">
        <v>0</v>
      </c>
      <c r="AC42" s="44">
        <v>89954.881823641263</v>
      </c>
      <c r="AD42" s="44">
        <v>0</v>
      </c>
      <c r="AE42" s="44">
        <v>847.76524800000891</v>
      </c>
      <c r="AF42" s="44">
        <v>0</v>
      </c>
      <c r="AG42" s="44">
        <v>138243.54</v>
      </c>
      <c r="AH42" s="44">
        <v>0</v>
      </c>
      <c r="AI42" s="44">
        <v>0</v>
      </c>
      <c r="AJ42" s="44">
        <v>0</v>
      </c>
      <c r="AK42" s="44">
        <v>16658.406299999999</v>
      </c>
      <c r="AL42" s="44">
        <v>0</v>
      </c>
      <c r="AM42" s="44">
        <v>0</v>
      </c>
      <c r="AN42" s="44">
        <v>0</v>
      </c>
      <c r="AO42" s="44">
        <v>0</v>
      </c>
      <c r="AP42" s="44">
        <v>0</v>
      </c>
      <c r="AQ42" s="44">
        <v>0</v>
      </c>
      <c r="AR42" s="44">
        <v>0</v>
      </c>
      <c r="AS42" s="44">
        <v>0</v>
      </c>
      <c r="AT42" s="44">
        <v>722049.52519999992</v>
      </c>
      <c r="AU42" s="44">
        <v>345082.48141140235</v>
      </c>
      <c r="AV42" s="44">
        <v>154901.94630000001</v>
      </c>
      <c r="AW42" s="44">
        <v>226885.64445752185</v>
      </c>
      <c r="AX42" s="62">
        <v>1222033.9529114021</v>
      </c>
      <c r="AY42" s="62">
        <v>1205375.5466114022</v>
      </c>
      <c r="AZ42" s="62">
        <v>4610</v>
      </c>
      <c r="BA42" s="62">
        <v>931220</v>
      </c>
      <c r="BB42" s="62">
        <v>0</v>
      </c>
      <c r="BC42" s="62">
        <v>0</v>
      </c>
      <c r="BD42" s="62">
        <v>1222033.9529114021</v>
      </c>
      <c r="BE42" s="44">
        <v>1222033.9529114023</v>
      </c>
      <c r="BF42" s="44">
        <v>0</v>
      </c>
      <c r="BG42" s="62">
        <v>947878.40630000003</v>
      </c>
      <c r="BH42" s="62">
        <v>792976.46</v>
      </c>
      <c r="BI42" s="44">
        <v>1067132.0066114021</v>
      </c>
      <c r="BJ42" s="44">
        <v>5282.8317158980308</v>
      </c>
      <c r="BK42" s="44">
        <v>5213.4196453201976</v>
      </c>
      <c r="BL42" s="45">
        <v>1.3314115359990376E-2</v>
      </c>
      <c r="BM42" s="45">
        <v>0</v>
      </c>
      <c r="BN42" s="44">
        <v>0</v>
      </c>
      <c r="BO42" s="62">
        <v>1222033.9529114021</v>
      </c>
      <c r="BP42" s="62">
        <v>5967.2056762940701</v>
      </c>
      <c r="BQ42" s="62" t="s">
        <v>92</v>
      </c>
      <c r="BR42" s="62">
        <v>6049.6730342148621</v>
      </c>
      <c r="BS42" s="53">
        <v>1.2651249302195966E-2</v>
      </c>
      <c r="BT42" s="44">
        <v>-5064.1400000000003</v>
      </c>
      <c r="BU42" s="44">
        <v>1216969.8129114022</v>
      </c>
      <c r="BV42" s="44">
        <v>0</v>
      </c>
      <c r="BW42" s="44">
        <v>1216969.8129114022</v>
      </c>
      <c r="BX42" s="44">
        <v>16658.406299999999</v>
      </c>
      <c r="BY42" s="44">
        <v>1200311.4066114023</v>
      </c>
    </row>
    <row r="43" spans="1:77">
      <c r="A43">
        <v>2160</v>
      </c>
      <c r="B43" s="60">
        <v>103248</v>
      </c>
      <c r="C43" s="60">
        <v>3302160</v>
      </c>
      <c r="D43" s="61" t="s">
        <v>497</v>
      </c>
      <c r="E43" s="52">
        <v>341</v>
      </c>
      <c r="F43" s="52">
        <v>341</v>
      </c>
      <c r="G43" s="52">
        <v>0</v>
      </c>
      <c r="H43" s="44">
        <v>1218905.3865999999</v>
      </c>
      <c r="I43" s="44">
        <v>0</v>
      </c>
      <c r="J43" s="44">
        <v>0</v>
      </c>
      <c r="K43" s="44">
        <v>71791.105400000044</v>
      </c>
      <c r="L43" s="44">
        <v>0</v>
      </c>
      <c r="M43" s="44">
        <v>158815.49259999997</v>
      </c>
      <c r="N43" s="44">
        <v>0</v>
      </c>
      <c r="O43" s="44">
        <v>6603.0943999999981</v>
      </c>
      <c r="P43" s="44">
        <v>9438.0098999999991</v>
      </c>
      <c r="Q43" s="44">
        <v>2679.3714000000055</v>
      </c>
      <c r="R43" s="44">
        <v>52563.848399999973</v>
      </c>
      <c r="S43" s="44">
        <v>36693.339600000058</v>
      </c>
      <c r="T43" s="44">
        <v>17742.056799999991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7696.9216999999962</v>
      </c>
      <c r="AB43" s="44">
        <v>0</v>
      </c>
      <c r="AC43" s="44">
        <v>135160.83681861931</v>
      </c>
      <c r="AD43" s="44">
        <v>0</v>
      </c>
      <c r="AE43" s="44">
        <v>0</v>
      </c>
      <c r="AF43" s="44">
        <v>0</v>
      </c>
      <c r="AG43" s="44">
        <v>138243.54</v>
      </c>
      <c r="AH43" s="44">
        <v>0</v>
      </c>
      <c r="AI43" s="44">
        <v>0</v>
      </c>
      <c r="AJ43" s="44">
        <v>0</v>
      </c>
      <c r="AK43" s="44">
        <v>26354.095000000001</v>
      </c>
      <c r="AL43" s="44">
        <v>0</v>
      </c>
      <c r="AM43" s="44">
        <v>0</v>
      </c>
      <c r="AN43" s="44">
        <v>0</v>
      </c>
      <c r="AO43" s="44">
        <v>0</v>
      </c>
      <c r="AP43" s="44">
        <v>0</v>
      </c>
      <c r="AQ43" s="44">
        <v>0</v>
      </c>
      <c r="AR43" s="44">
        <v>0</v>
      </c>
      <c r="AS43" s="44">
        <v>0</v>
      </c>
      <c r="AT43" s="44">
        <v>1218905.3865999999</v>
      </c>
      <c r="AU43" s="44">
        <v>499184.0770186194</v>
      </c>
      <c r="AV43" s="44">
        <v>164597.63500000001</v>
      </c>
      <c r="AW43" s="44">
        <v>374269.26539861935</v>
      </c>
      <c r="AX43" s="62">
        <v>1882687.0986186194</v>
      </c>
      <c r="AY43" s="62">
        <v>1856333.0036186194</v>
      </c>
      <c r="AZ43" s="62">
        <v>4610</v>
      </c>
      <c r="BA43" s="62">
        <v>1572010</v>
      </c>
      <c r="BB43" s="62">
        <v>0</v>
      </c>
      <c r="BC43" s="62">
        <v>0</v>
      </c>
      <c r="BD43" s="62">
        <v>1882687.0986186194</v>
      </c>
      <c r="BE43" s="44">
        <v>1882687.0986186194</v>
      </c>
      <c r="BF43" s="44">
        <v>0</v>
      </c>
      <c r="BG43" s="62">
        <v>1598364.095</v>
      </c>
      <c r="BH43" s="62">
        <v>1433766.46</v>
      </c>
      <c r="BI43" s="44">
        <v>1718089.4636186194</v>
      </c>
      <c r="BJ43" s="44">
        <v>5038.3855238082679</v>
      </c>
      <c r="BK43" s="44">
        <v>5013.1296098265893</v>
      </c>
      <c r="BL43" s="45">
        <v>5.0379535235180496E-3</v>
      </c>
      <c r="BM43" s="45">
        <v>0</v>
      </c>
      <c r="BN43" s="44">
        <v>0</v>
      </c>
      <c r="BO43" s="62">
        <v>1882687.0986186194</v>
      </c>
      <c r="BP43" s="62">
        <v>5443.791799468092</v>
      </c>
      <c r="BQ43" s="62" t="s">
        <v>92</v>
      </c>
      <c r="BR43" s="62">
        <v>5521.0765355384729</v>
      </c>
      <c r="BS43" s="53">
        <v>6.2788487922971203E-3</v>
      </c>
      <c r="BT43" s="44">
        <v>-8548.8700000000008</v>
      </c>
      <c r="BU43" s="44">
        <v>1874138.2286186193</v>
      </c>
      <c r="BV43" s="44">
        <v>0</v>
      </c>
      <c r="BW43" s="44">
        <v>1874138.2286186193</v>
      </c>
      <c r="BX43" s="44">
        <v>26354.095000000001</v>
      </c>
      <c r="BY43" s="44">
        <v>1847784.1336186193</v>
      </c>
    </row>
    <row r="44" spans="1:77">
      <c r="A44">
        <v>2161</v>
      </c>
      <c r="B44" s="60">
        <v>103249</v>
      </c>
      <c r="C44" s="60">
        <v>3302161</v>
      </c>
      <c r="D44" s="61" t="s">
        <v>760</v>
      </c>
      <c r="E44" s="52">
        <v>255</v>
      </c>
      <c r="F44" s="52">
        <v>255</v>
      </c>
      <c r="G44" s="52">
        <v>0</v>
      </c>
      <c r="H44" s="44">
        <v>911498.16299999994</v>
      </c>
      <c r="I44" s="44">
        <v>0</v>
      </c>
      <c r="J44" s="44">
        <v>0</v>
      </c>
      <c r="K44" s="44">
        <v>55564.348700000024</v>
      </c>
      <c r="L44" s="44">
        <v>0</v>
      </c>
      <c r="M44" s="44">
        <v>93808.114800000039</v>
      </c>
      <c r="N44" s="44">
        <v>0</v>
      </c>
      <c r="O44" s="44">
        <v>3077.7921732283453</v>
      </c>
      <c r="P44" s="44">
        <v>8039.5359921259878</v>
      </c>
      <c r="Q44" s="44">
        <v>1793.2800708661425</v>
      </c>
      <c r="R44" s="44">
        <v>42998.423669291355</v>
      </c>
      <c r="S44" s="44">
        <v>26460.956055118088</v>
      </c>
      <c r="T44" s="44">
        <v>6850.733622047248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10594.952947368418</v>
      </c>
      <c r="AB44" s="44">
        <v>0</v>
      </c>
      <c r="AC44" s="44">
        <v>111153.45465269453</v>
      </c>
      <c r="AD44" s="44">
        <v>0</v>
      </c>
      <c r="AE44" s="44">
        <v>0</v>
      </c>
      <c r="AF44" s="44">
        <v>0</v>
      </c>
      <c r="AG44" s="44">
        <v>138243.54</v>
      </c>
      <c r="AH44" s="44">
        <v>0</v>
      </c>
      <c r="AI44" s="44">
        <v>0</v>
      </c>
      <c r="AJ44" s="44">
        <v>0</v>
      </c>
      <c r="AK44" s="44">
        <v>14190.6602</v>
      </c>
      <c r="AL44" s="44">
        <v>0</v>
      </c>
      <c r="AM44" s="44">
        <v>0</v>
      </c>
      <c r="AN44" s="44">
        <v>0</v>
      </c>
      <c r="AO44" s="44">
        <v>0</v>
      </c>
      <c r="AP44" s="44">
        <v>0</v>
      </c>
      <c r="AQ44" s="44">
        <v>0</v>
      </c>
      <c r="AR44" s="44">
        <v>0</v>
      </c>
      <c r="AS44" s="44">
        <v>0</v>
      </c>
      <c r="AT44" s="44">
        <v>911498.16299999994</v>
      </c>
      <c r="AU44" s="44">
        <v>360341.59268274013</v>
      </c>
      <c r="AV44" s="44">
        <v>152434.20020000002</v>
      </c>
      <c r="AW44" s="44">
        <v>276024.95534403314</v>
      </c>
      <c r="AX44" s="62">
        <v>1424273.9558827402</v>
      </c>
      <c r="AY44" s="62">
        <v>1410083.2956827402</v>
      </c>
      <c r="AZ44" s="62">
        <v>4610</v>
      </c>
      <c r="BA44" s="62">
        <v>1175550</v>
      </c>
      <c r="BB44" s="62">
        <v>0</v>
      </c>
      <c r="BC44" s="62">
        <v>0</v>
      </c>
      <c r="BD44" s="62">
        <v>1424273.9558827402</v>
      </c>
      <c r="BE44" s="44">
        <v>1424273.9558827404</v>
      </c>
      <c r="BF44" s="44">
        <v>0</v>
      </c>
      <c r="BG44" s="62">
        <v>1189740.6602</v>
      </c>
      <c r="BH44" s="62">
        <v>1037306.46</v>
      </c>
      <c r="BI44" s="44">
        <v>1271839.7556827401</v>
      </c>
      <c r="BJ44" s="44">
        <v>4987.6068850303536</v>
      </c>
      <c r="BK44" s="44">
        <v>4921.4359072580646</v>
      </c>
      <c r="BL44" s="45">
        <v>1.3445461653722032E-2</v>
      </c>
      <c r="BM44" s="45">
        <v>0</v>
      </c>
      <c r="BN44" s="44">
        <v>0</v>
      </c>
      <c r="BO44" s="62">
        <v>1424273.9558827402</v>
      </c>
      <c r="BP44" s="62">
        <v>5529.7384144421185</v>
      </c>
      <c r="BQ44" s="62" t="s">
        <v>92</v>
      </c>
      <c r="BR44" s="62">
        <v>5585.3880622852557</v>
      </c>
      <c r="BS44" s="53">
        <v>9.2086804107089915E-3</v>
      </c>
      <c r="BT44" s="44">
        <v>-6392.85</v>
      </c>
      <c r="BU44" s="44">
        <v>1417881.1058827401</v>
      </c>
      <c r="BV44" s="44">
        <v>0</v>
      </c>
      <c r="BW44" s="44">
        <v>1417881.1058827401</v>
      </c>
      <c r="BX44" s="44">
        <v>14190.6602</v>
      </c>
      <c r="BY44" s="44">
        <v>1403690.4456827401</v>
      </c>
    </row>
    <row r="45" spans="1:77">
      <c r="A45">
        <v>2169</v>
      </c>
      <c r="B45" s="60">
        <v>103252</v>
      </c>
      <c r="C45" s="60">
        <v>3302169</v>
      </c>
      <c r="D45" s="61" t="s">
        <v>769</v>
      </c>
      <c r="E45" s="52">
        <v>383</v>
      </c>
      <c r="F45" s="52">
        <v>383</v>
      </c>
      <c r="G45" s="52">
        <v>0</v>
      </c>
      <c r="H45" s="44">
        <v>1369034.4957999999</v>
      </c>
      <c r="I45" s="44">
        <v>0</v>
      </c>
      <c r="J45" s="44">
        <v>0</v>
      </c>
      <c r="K45" s="44">
        <v>112603.85709999999</v>
      </c>
      <c r="L45" s="44">
        <v>0</v>
      </c>
      <c r="M45" s="44">
        <v>188439.1078</v>
      </c>
      <c r="N45" s="44">
        <v>0</v>
      </c>
      <c r="O45" s="44">
        <v>4952.3207999999986</v>
      </c>
      <c r="P45" s="44">
        <v>6292.0066000000024</v>
      </c>
      <c r="Q45" s="44">
        <v>2232.8095000000058</v>
      </c>
      <c r="R45" s="44">
        <v>52077.146099999976</v>
      </c>
      <c r="S45" s="44">
        <v>93025.368000000075</v>
      </c>
      <c r="T45" s="44">
        <v>2729.5471999999963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81661.731305654859</v>
      </c>
      <c r="AB45" s="44">
        <v>0</v>
      </c>
      <c r="AC45" s="44">
        <v>158866.56527781454</v>
      </c>
      <c r="AD45" s="44">
        <v>0</v>
      </c>
      <c r="AE45" s="44">
        <v>21213.398591999852</v>
      </c>
      <c r="AF45" s="44">
        <v>0</v>
      </c>
      <c r="AG45" s="44">
        <v>138243.54</v>
      </c>
      <c r="AH45" s="44">
        <v>0</v>
      </c>
      <c r="AI45" s="44">
        <v>0</v>
      </c>
      <c r="AJ45" s="44">
        <v>0</v>
      </c>
      <c r="AK45" s="44">
        <v>29679.820800000001</v>
      </c>
      <c r="AL45" s="44">
        <v>0</v>
      </c>
      <c r="AM45" s="44">
        <v>0</v>
      </c>
      <c r="AN45" s="44">
        <v>0</v>
      </c>
      <c r="AO45" s="44">
        <v>0</v>
      </c>
      <c r="AP45" s="44">
        <v>0</v>
      </c>
      <c r="AQ45" s="44">
        <v>0</v>
      </c>
      <c r="AR45" s="44">
        <v>0</v>
      </c>
      <c r="AS45" s="44">
        <v>0</v>
      </c>
      <c r="AT45" s="44">
        <v>1369034.4957999999</v>
      </c>
      <c r="AU45" s="44">
        <v>724093.85827546928</v>
      </c>
      <c r="AV45" s="44">
        <v>167923.36080000002</v>
      </c>
      <c r="AW45" s="44">
        <v>458494.37161781464</v>
      </c>
      <c r="AX45" s="62">
        <v>2261051.714875469</v>
      </c>
      <c r="AY45" s="62">
        <v>2231371.8940754691</v>
      </c>
      <c r="AZ45" s="62">
        <v>4610</v>
      </c>
      <c r="BA45" s="62">
        <v>1765630</v>
      </c>
      <c r="BB45" s="62">
        <v>0</v>
      </c>
      <c r="BC45" s="62">
        <v>0</v>
      </c>
      <c r="BD45" s="62">
        <v>2261051.714875469</v>
      </c>
      <c r="BE45" s="44">
        <v>2261051.714875469</v>
      </c>
      <c r="BF45" s="44">
        <v>0</v>
      </c>
      <c r="BG45" s="62">
        <v>1795309.8208000001</v>
      </c>
      <c r="BH45" s="62">
        <v>1627386.46</v>
      </c>
      <c r="BI45" s="44">
        <v>2093128.3540754688</v>
      </c>
      <c r="BJ45" s="44">
        <v>5465.0870863589262</v>
      </c>
      <c r="BK45" s="44">
        <v>5304.3709728997283</v>
      </c>
      <c r="BL45" s="45">
        <v>3.0298807206415958E-2</v>
      </c>
      <c r="BM45" s="45">
        <v>0</v>
      </c>
      <c r="BN45" s="44">
        <v>0</v>
      </c>
      <c r="BO45" s="62">
        <v>2261051.714875469</v>
      </c>
      <c r="BP45" s="62">
        <v>5826.0362769594494</v>
      </c>
      <c r="BQ45" s="62" t="s">
        <v>92</v>
      </c>
      <c r="BR45" s="62">
        <v>5903.5292816591882</v>
      </c>
      <c r="BS45" s="53">
        <v>2.5433644059863036E-2</v>
      </c>
      <c r="BT45" s="44">
        <v>-9601.81</v>
      </c>
      <c r="BU45" s="44">
        <v>2251449.9048754689</v>
      </c>
      <c r="BV45" s="44">
        <v>0</v>
      </c>
      <c r="BW45" s="44">
        <v>2251449.9048754689</v>
      </c>
      <c r="BX45" s="44">
        <v>29679.820800000001</v>
      </c>
      <c r="BY45" s="44">
        <v>2221770.0840754691</v>
      </c>
    </row>
    <row r="46" spans="1:77">
      <c r="A46">
        <v>2174</v>
      </c>
      <c r="B46" s="60">
        <v>103255</v>
      </c>
      <c r="C46" s="60">
        <v>3302174</v>
      </c>
      <c r="D46" s="61" t="s">
        <v>354</v>
      </c>
      <c r="E46" s="52">
        <v>332</v>
      </c>
      <c r="F46" s="52">
        <v>332</v>
      </c>
      <c r="G46" s="52">
        <v>0</v>
      </c>
      <c r="H46" s="44">
        <v>1186734.8632</v>
      </c>
      <c r="I46" s="44">
        <v>0</v>
      </c>
      <c r="J46" s="44">
        <v>0</v>
      </c>
      <c r="K46" s="44">
        <v>66873.906399999934</v>
      </c>
      <c r="L46" s="44">
        <v>0</v>
      </c>
      <c r="M46" s="44">
        <v>112734.31340000012</v>
      </c>
      <c r="N46" s="44">
        <v>0</v>
      </c>
      <c r="O46" s="44">
        <v>1414.9487999999994</v>
      </c>
      <c r="P46" s="44">
        <v>30316.031800000008</v>
      </c>
      <c r="Q46" s="44">
        <v>31259.33300000001</v>
      </c>
      <c r="R46" s="44">
        <v>28228.733400000019</v>
      </c>
      <c r="S46" s="44">
        <v>32558.878799999948</v>
      </c>
      <c r="T46" s="44">
        <v>2047.1603999999991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84360.235401666738</v>
      </c>
      <c r="AB46" s="44">
        <v>0</v>
      </c>
      <c r="AC46" s="44">
        <v>94908.659853912992</v>
      </c>
      <c r="AD46" s="44">
        <v>0</v>
      </c>
      <c r="AE46" s="44">
        <v>0</v>
      </c>
      <c r="AF46" s="44">
        <v>0</v>
      </c>
      <c r="AG46" s="44">
        <v>138243.54</v>
      </c>
      <c r="AH46" s="44">
        <v>0</v>
      </c>
      <c r="AI46" s="44">
        <v>0</v>
      </c>
      <c r="AJ46" s="44">
        <v>0</v>
      </c>
      <c r="AK46" s="44">
        <v>20532.462899999999</v>
      </c>
      <c r="AL46" s="44">
        <v>0</v>
      </c>
      <c r="AM46" s="44">
        <v>0</v>
      </c>
      <c r="AN46" s="44">
        <v>0</v>
      </c>
      <c r="AO46" s="44">
        <v>0</v>
      </c>
      <c r="AP46" s="44">
        <v>0</v>
      </c>
      <c r="AQ46" s="44">
        <v>0</v>
      </c>
      <c r="AR46" s="44">
        <v>0</v>
      </c>
      <c r="AS46" s="44">
        <v>0</v>
      </c>
      <c r="AT46" s="44">
        <v>1186734.8632</v>
      </c>
      <c r="AU46" s="44">
        <v>484702.20125557977</v>
      </c>
      <c r="AV46" s="44">
        <v>158776.00290000002</v>
      </c>
      <c r="AW46" s="44">
        <v>306962.05601391301</v>
      </c>
      <c r="AX46" s="62">
        <v>1830213.0673555797</v>
      </c>
      <c r="AY46" s="62">
        <v>1809680.6044555798</v>
      </c>
      <c r="AZ46" s="62">
        <v>4610</v>
      </c>
      <c r="BA46" s="62">
        <v>1530520</v>
      </c>
      <c r="BB46" s="62">
        <v>0</v>
      </c>
      <c r="BC46" s="62">
        <v>0</v>
      </c>
      <c r="BD46" s="62">
        <v>1830213.0673555797</v>
      </c>
      <c r="BE46" s="44">
        <v>1830213.0673555795</v>
      </c>
      <c r="BF46" s="44">
        <v>0</v>
      </c>
      <c r="BG46" s="62">
        <v>1551052.4628999999</v>
      </c>
      <c r="BH46" s="62">
        <v>1392276.46</v>
      </c>
      <c r="BI46" s="44">
        <v>1671437.0644555797</v>
      </c>
      <c r="BJ46" s="44">
        <v>5034.4489893240352</v>
      </c>
      <c r="BK46" s="44">
        <v>4834.2327792134829</v>
      </c>
      <c r="BL46" s="45">
        <v>4.1416336211912194E-2</v>
      </c>
      <c r="BM46" s="45">
        <v>0</v>
      </c>
      <c r="BN46" s="44">
        <v>0</v>
      </c>
      <c r="BO46" s="62">
        <v>1830213.0673555797</v>
      </c>
      <c r="BP46" s="62">
        <v>5450.8451941433123</v>
      </c>
      <c r="BQ46" s="62" t="s">
        <v>92</v>
      </c>
      <c r="BR46" s="62">
        <v>5512.6899619143969</v>
      </c>
      <c r="BS46" s="53">
        <v>4.4356293441579764E-2</v>
      </c>
      <c r="BT46" s="44">
        <v>-8323.24</v>
      </c>
      <c r="BU46" s="44">
        <v>1821889.8273555797</v>
      </c>
      <c r="BV46" s="44">
        <v>0</v>
      </c>
      <c r="BW46" s="44">
        <v>1821889.8273555797</v>
      </c>
      <c r="BX46" s="44">
        <v>20532.462899999999</v>
      </c>
      <c r="BY46" s="44">
        <v>1801357.3644555798</v>
      </c>
    </row>
    <row r="47" spans="1:77">
      <c r="A47">
        <v>2176</v>
      </c>
      <c r="B47" s="60">
        <v>103256</v>
      </c>
      <c r="C47" s="60">
        <v>3302176</v>
      </c>
      <c r="D47" s="61" t="s">
        <v>506</v>
      </c>
      <c r="E47" s="52">
        <v>647</v>
      </c>
      <c r="F47" s="52">
        <v>647</v>
      </c>
      <c r="G47" s="52">
        <v>0</v>
      </c>
      <c r="H47" s="44">
        <v>2312703.1821999997</v>
      </c>
      <c r="I47" s="44">
        <v>0</v>
      </c>
      <c r="J47" s="44">
        <v>0</v>
      </c>
      <c r="K47" s="44">
        <v>137189.85210000008</v>
      </c>
      <c r="L47" s="44">
        <v>0</v>
      </c>
      <c r="M47" s="44">
        <v>230405.89600000024</v>
      </c>
      <c r="N47" s="44">
        <v>0</v>
      </c>
      <c r="O47" s="44">
        <v>0</v>
      </c>
      <c r="P47" s="44">
        <v>84942.08910000007</v>
      </c>
      <c r="Q47" s="44">
        <v>85293.322900000028</v>
      </c>
      <c r="R47" s="44">
        <v>47696.825399999987</v>
      </c>
      <c r="S47" s="44">
        <v>27907.610400000012</v>
      </c>
      <c r="T47" s="44">
        <v>1364.7735999999982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192907.94644498211</v>
      </c>
      <c r="AB47" s="44">
        <v>0</v>
      </c>
      <c r="AC47" s="44">
        <v>293215.56027112604</v>
      </c>
      <c r="AD47" s="44">
        <v>0</v>
      </c>
      <c r="AE47" s="44">
        <v>0</v>
      </c>
      <c r="AF47" s="44">
        <v>0</v>
      </c>
      <c r="AG47" s="44">
        <v>138243.54</v>
      </c>
      <c r="AH47" s="44">
        <v>0</v>
      </c>
      <c r="AI47" s="44">
        <v>0</v>
      </c>
      <c r="AJ47" s="44">
        <v>0</v>
      </c>
      <c r="AK47" s="44">
        <v>62009.625599999999</v>
      </c>
      <c r="AL47" s="44">
        <v>0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S47" s="44">
        <v>0</v>
      </c>
      <c r="AT47" s="44">
        <v>2312703.1821999997</v>
      </c>
      <c r="AU47" s="44">
        <v>1100923.8762161084</v>
      </c>
      <c r="AV47" s="44">
        <v>200253.16560000001</v>
      </c>
      <c r="AW47" s="44">
        <v>716250.90413112612</v>
      </c>
      <c r="AX47" s="62">
        <v>3613880.2240161081</v>
      </c>
      <c r="AY47" s="62">
        <v>3551870.5984161082</v>
      </c>
      <c r="AZ47" s="62">
        <v>4610</v>
      </c>
      <c r="BA47" s="62">
        <v>2982670</v>
      </c>
      <c r="BB47" s="62">
        <v>0</v>
      </c>
      <c r="BC47" s="62">
        <v>0</v>
      </c>
      <c r="BD47" s="62">
        <v>3613880.2240161081</v>
      </c>
      <c r="BE47" s="44">
        <v>3613880.2240161086</v>
      </c>
      <c r="BF47" s="44">
        <v>0</v>
      </c>
      <c r="BG47" s="62">
        <v>3044679.6255999999</v>
      </c>
      <c r="BH47" s="62">
        <v>2844426.46</v>
      </c>
      <c r="BI47" s="44">
        <v>3413627.0584161081</v>
      </c>
      <c r="BJ47" s="44">
        <v>5276.0850980156229</v>
      </c>
      <c r="BK47" s="44">
        <v>5155.8114474576269</v>
      </c>
      <c r="BL47" s="45">
        <v>2.332778298502439E-2</v>
      </c>
      <c r="BM47" s="45">
        <v>0</v>
      </c>
      <c r="BN47" s="44">
        <v>0</v>
      </c>
      <c r="BO47" s="62">
        <v>3613880.2240161081</v>
      </c>
      <c r="BP47" s="62">
        <v>5489.7536297003217</v>
      </c>
      <c r="BQ47" s="62" t="s">
        <v>92</v>
      </c>
      <c r="BR47" s="62">
        <v>5585.5954003340157</v>
      </c>
      <c r="BS47" s="53">
        <v>2.2705929118388646E-2</v>
      </c>
      <c r="BT47" s="44">
        <v>-16220.29</v>
      </c>
      <c r="BU47" s="44">
        <v>3597659.934016108</v>
      </c>
      <c r="BV47" s="44">
        <v>0</v>
      </c>
      <c r="BW47" s="44">
        <v>3597659.934016108</v>
      </c>
      <c r="BX47" s="44">
        <v>62009.625599999999</v>
      </c>
      <c r="BY47" s="44">
        <v>3535650.3084161081</v>
      </c>
    </row>
    <row r="48" spans="1:77">
      <c r="A48">
        <v>2178</v>
      </c>
      <c r="B48" s="60">
        <v>103257</v>
      </c>
      <c r="C48" s="60">
        <v>3302178</v>
      </c>
      <c r="D48" s="61" t="s">
        <v>539</v>
      </c>
      <c r="E48" s="52">
        <v>209</v>
      </c>
      <c r="F48" s="52">
        <v>209</v>
      </c>
      <c r="G48" s="52">
        <v>0</v>
      </c>
      <c r="H48" s="44">
        <v>747071.04339999997</v>
      </c>
      <c r="I48" s="44">
        <v>0</v>
      </c>
      <c r="J48" s="44">
        <v>0</v>
      </c>
      <c r="K48" s="44">
        <v>43271.351199999968</v>
      </c>
      <c r="L48" s="44">
        <v>0</v>
      </c>
      <c r="M48" s="44">
        <v>75704.794400000072</v>
      </c>
      <c r="N48" s="44">
        <v>0</v>
      </c>
      <c r="O48" s="44">
        <v>3537.3720000000021</v>
      </c>
      <c r="P48" s="44">
        <v>2002.0021000000011</v>
      </c>
      <c r="Q48" s="44">
        <v>893.12379999999973</v>
      </c>
      <c r="R48" s="44">
        <v>36502.672499999964</v>
      </c>
      <c r="S48" s="44">
        <v>28424.417999999983</v>
      </c>
      <c r="T48" s="44">
        <v>11600.5756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17477.799166666624</v>
      </c>
      <c r="AB48" s="44">
        <v>0</v>
      </c>
      <c r="AC48" s="44">
        <v>75231.405067897242</v>
      </c>
      <c r="AD48" s="44">
        <v>0</v>
      </c>
      <c r="AE48" s="44">
        <v>0</v>
      </c>
      <c r="AF48" s="44">
        <v>0</v>
      </c>
      <c r="AG48" s="44">
        <v>138243.54</v>
      </c>
      <c r="AH48" s="44">
        <v>0</v>
      </c>
      <c r="AI48" s="44">
        <v>0</v>
      </c>
      <c r="AJ48" s="44">
        <v>0</v>
      </c>
      <c r="AK48" s="44">
        <v>16400.144100000001</v>
      </c>
      <c r="AL48" s="44">
        <v>0</v>
      </c>
      <c r="AM48" s="44">
        <v>0</v>
      </c>
      <c r="AN48" s="44">
        <v>0</v>
      </c>
      <c r="AO48" s="44">
        <v>0</v>
      </c>
      <c r="AP48" s="44">
        <v>0</v>
      </c>
      <c r="AQ48" s="44">
        <v>0</v>
      </c>
      <c r="AR48" s="44">
        <v>0</v>
      </c>
      <c r="AS48" s="44">
        <v>0</v>
      </c>
      <c r="AT48" s="44">
        <v>747071.04339999997</v>
      </c>
      <c r="AU48" s="44">
        <v>294645.5138345639</v>
      </c>
      <c r="AV48" s="44">
        <v>154643.68410000001</v>
      </c>
      <c r="AW48" s="44">
        <v>213553.11203789723</v>
      </c>
      <c r="AX48" s="62">
        <v>1196360.2413345638</v>
      </c>
      <c r="AY48" s="62">
        <v>1179960.0972345639</v>
      </c>
      <c r="AZ48" s="62">
        <v>4610</v>
      </c>
      <c r="BA48" s="62">
        <v>963490</v>
      </c>
      <c r="BB48" s="62">
        <v>0</v>
      </c>
      <c r="BC48" s="62">
        <v>0</v>
      </c>
      <c r="BD48" s="62">
        <v>1196360.2413345638</v>
      </c>
      <c r="BE48" s="44">
        <v>1196360.2413345638</v>
      </c>
      <c r="BF48" s="44">
        <v>0</v>
      </c>
      <c r="BG48" s="62">
        <v>979890.14410000003</v>
      </c>
      <c r="BH48" s="62">
        <v>825246.46</v>
      </c>
      <c r="BI48" s="44">
        <v>1041716.5572345637</v>
      </c>
      <c r="BJ48" s="44">
        <v>4984.2897475337977</v>
      </c>
      <c r="BK48" s="44">
        <v>5285.1688857142854</v>
      </c>
      <c r="BL48" s="45">
        <v>-5.6928954341224261E-2</v>
      </c>
      <c r="BM48" s="45">
        <v>6.1928954341224259E-2</v>
      </c>
      <c r="BN48" s="44">
        <v>68406.741365293346</v>
      </c>
      <c r="BO48" s="62">
        <v>1264766.9826998571</v>
      </c>
      <c r="BP48" s="62">
        <v>5973.0470746404653</v>
      </c>
      <c r="BQ48" s="62" t="s">
        <v>92</v>
      </c>
      <c r="BR48" s="62">
        <v>6051.5166636356798</v>
      </c>
      <c r="BS48" s="53">
        <v>1.3075724222281204E-2</v>
      </c>
      <c r="BT48" s="44">
        <v>-5239.63</v>
      </c>
      <c r="BU48" s="44">
        <v>1259527.3526998572</v>
      </c>
      <c r="BV48" s="44">
        <v>0</v>
      </c>
      <c r="BW48" s="44">
        <v>1259527.3526998572</v>
      </c>
      <c r="BX48" s="44">
        <v>16400.144100000001</v>
      </c>
      <c r="BY48" s="44">
        <v>1243127.2085998573</v>
      </c>
    </row>
    <row r="49" spans="1:77">
      <c r="A49">
        <v>2183</v>
      </c>
      <c r="B49" s="60">
        <v>103261</v>
      </c>
      <c r="C49" s="60">
        <v>3302183</v>
      </c>
      <c r="D49" s="61" t="s">
        <v>781</v>
      </c>
      <c r="E49" s="52">
        <v>349</v>
      </c>
      <c r="F49" s="52">
        <v>349</v>
      </c>
      <c r="G49" s="52">
        <v>0</v>
      </c>
      <c r="H49" s="44">
        <v>1247501.4073999999</v>
      </c>
      <c r="I49" s="44">
        <v>0</v>
      </c>
      <c r="J49" s="44">
        <v>0</v>
      </c>
      <c r="K49" s="44">
        <v>69332.505900000077</v>
      </c>
      <c r="L49" s="44">
        <v>0</v>
      </c>
      <c r="M49" s="44">
        <v>124254.60819999989</v>
      </c>
      <c r="N49" s="44">
        <v>0</v>
      </c>
      <c r="O49" s="44">
        <v>707.47440000000017</v>
      </c>
      <c r="P49" s="44">
        <v>36608.038400000019</v>
      </c>
      <c r="Q49" s="44">
        <v>51801.180399999997</v>
      </c>
      <c r="R49" s="44">
        <v>41369.695500000074</v>
      </c>
      <c r="S49" s="44">
        <v>5168.0759999999946</v>
      </c>
      <c r="T49" s="44">
        <v>2729.5471999999922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125387.05214736846</v>
      </c>
      <c r="AB49" s="44">
        <v>0</v>
      </c>
      <c r="AC49" s="44">
        <v>184633.33240893597</v>
      </c>
      <c r="AD49" s="44">
        <v>0</v>
      </c>
      <c r="AE49" s="44">
        <v>31998.487362206746</v>
      </c>
      <c r="AF49" s="44">
        <v>0</v>
      </c>
      <c r="AG49" s="44">
        <v>138243.54</v>
      </c>
      <c r="AH49" s="44">
        <v>0</v>
      </c>
      <c r="AI49" s="44">
        <v>0</v>
      </c>
      <c r="AJ49" s="44">
        <v>0</v>
      </c>
      <c r="AK49" s="44">
        <v>37394.067600000002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S49" s="44">
        <v>0</v>
      </c>
      <c r="AT49" s="44">
        <v>1247501.4073999999</v>
      </c>
      <c r="AU49" s="44">
        <v>673989.99791851128</v>
      </c>
      <c r="AV49" s="44">
        <v>175637.60760000002</v>
      </c>
      <c r="AW49" s="44">
        <v>412993.96577893599</v>
      </c>
      <c r="AX49" s="62">
        <v>2097129.0129185112</v>
      </c>
      <c r="AY49" s="62">
        <v>2059734.9453185112</v>
      </c>
      <c r="AZ49" s="62">
        <v>4610</v>
      </c>
      <c r="BA49" s="62">
        <v>1608890</v>
      </c>
      <c r="BB49" s="62">
        <v>0</v>
      </c>
      <c r="BC49" s="62">
        <v>0</v>
      </c>
      <c r="BD49" s="62">
        <v>2097129.0129185112</v>
      </c>
      <c r="BE49" s="44">
        <v>2097129.0129185107</v>
      </c>
      <c r="BF49" s="44">
        <v>0</v>
      </c>
      <c r="BG49" s="62">
        <v>1646284.0676</v>
      </c>
      <c r="BH49" s="62">
        <v>1470646.46</v>
      </c>
      <c r="BI49" s="44">
        <v>1921491.4053185112</v>
      </c>
      <c r="BJ49" s="44">
        <v>5505.7060324312642</v>
      </c>
      <c r="BK49" s="44">
        <v>5345.115931182796</v>
      </c>
      <c r="BL49" s="45">
        <v>3.0044269070312199E-2</v>
      </c>
      <c r="BM49" s="45">
        <v>0</v>
      </c>
      <c r="BN49" s="44">
        <v>0</v>
      </c>
      <c r="BO49" s="62">
        <v>2097129.0129185112</v>
      </c>
      <c r="BP49" s="62">
        <v>5901.8193275602043</v>
      </c>
      <c r="BQ49" s="62" t="s">
        <v>92</v>
      </c>
      <c r="BR49" s="62">
        <v>6008.9656530616367</v>
      </c>
      <c r="BS49" s="53">
        <v>3.3474769610923438E-2</v>
      </c>
      <c r="BT49" s="44">
        <v>-8749.43</v>
      </c>
      <c r="BU49" s="44">
        <v>2088379.5829185112</v>
      </c>
      <c r="BV49" s="44">
        <v>0</v>
      </c>
      <c r="BW49" s="44">
        <v>2088379.5829185112</v>
      </c>
      <c r="BX49" s="44">
        <v>37394.067600000002</v>
      </c>
      <c r="BY49" s="44">
        <v>2050985.5153185113</v>
      </c>
    </row>
    <row r="50" spans="1:77">
      <c r="A50">
        <v>2184</v>
      </c>
      <c r="B50" s="60">
        <v>103262</v>
      </c>
      <c r="C50" s="60">
        <v>3302184</v>
      </c>
      <c r="D50" s="61" t="s">
        <v>825</v>
      </c>
      <c r="E50" s="52">
        <v>411</v>
      </c>
      <c r="F50" s="52">
        <v>411</v>
      </c>
      <c r="G50" s="52">
        <v>0</v>
      </c>
      <c r="H50" s="44">
        <v>1469120.5685999999</v>
      </c>
      <c r="I50" s="44">
        <v>0</v>
      </c>
      <c r="J50" s="44">
        <v>0</v>
      </c>
      <c r="K50" s="44">
        <v>68349.066099999967</v>
      </c>
      <c r="L50" s="44">
        <v>0</v>
      </c>
      <c r="M50" s="44">
        <v>119317.33900000017</v>
      </c>
      <c r="N50" s="44">
        <v>0</v>
      </c>
      <c r="O50" s="44">
        <v>16036.086399999976</v>
      </c>
      <c r="P50" s="44">
        <v>48906.051300000006</v>
      </c>
      <c r="Q50" s="44">
        <v>5805.3046999999988</v>
      </c>
      <c r="R50" s="44">
        <v>42829.80239999995</v>
      </c>
      <c r="S50" s="44">
        <v>11369.7672</v>
      </c>
      <c r="T50" s="44">
        <v>24565.924799999993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66744.998372571368</v>
      </c>
      <c r="AB50" s="44">
        <v>0</v>
      </c>
      <c r="AC50" s="44">
        <v>139619.68440297048</v>
      </c>
      <c r="AD50" s="44">
        <v>0</v>
      </c>
      <c r="AE50" s="44">
        <v>0</v>
      </c>
      <c r="AF50" s="44">
        <v>0</v>
      </c>
      <c r="AG50" s="44">
        <v>138243.54</v>
      </c>
      <c r="AH50" s="44">
        <v>0</v>
      </c>
      <c r="AI50" s="44">
        <v>0</v>
      </c>
      <c r="AJ50" s="44">
        <v>0</v>
      </c>
      <c r="AK50" s="44">
        <v>30739.814399999999</v>
      </c>
      <c r="AL50" s="44">
        <v>0</v>
      </c>
      <c r="AM50" s="44">
        <v>0</v>
      </c>
      <c r="AN50" s="44">
        <v>0</v>
      </c>
      <c r="AO50" s="44">
        <v>0</v>
      </c>
      <c r="AP50" s="44">
        <v>0</v>
      </c>
      <c r="AQ50" s="44">
        <v>0</v>
      </c>
      <c r="AR50" s="44">
        <v>0</v>
      </c>
      <c r="AS50" s="44">
        <v>0</v>
      </c>
      <c r="AT50" s="44">
        <v>1469120.5685999999</v>
      </c>
      <c r="AU50" s="44">
        <v>543544.02467554191</v>
      </c>
      <c r="AV50" s="44">
        <v>168983.35440000001</v>
      </c>
      <c r="AW50" s="44">
        <v>381665.38378297049</v>
      </c>
      <c r="AX50" s="62">
        <v>2181647.947675542</v>
      </c>
      <c r="AY50" s="62">
        <v>2150908.1332755419</v>
      </c>
      <c r="AZ50" s="62">
        <v>4610</v>
      </c>
      <c r="BA50" s="62">
        <v>1894710</v>
      </c>
      <c r="BB50" s="62">
        <v>0</v>
      </c>
      <c r="BC50" s="62">
        <v>0</v>
      </c>
      <c r="BD50" s="62">
        <v>2181647.947675542</v>
      </c>
      <c r="BE50" s="44">
        <v>2181647.9476755415</v>
      </c>
      <c r="BF50" s="44">
        <v>0</v>
      </c>
      <c r="BG50" s="62">
        <v>1925449.8144</v>
      </c>
      <c r="BH50" s="62">
        <v>1756466.46</v>
      </c>
      <c r="BI50" s="44">
        <v>2012664.5932755419</v>
      </c>
      <c r="BJ50" s="44">
        <v>4896.99414422273</v>
      </c>
      <c r="BK50" s="44">
        <v>4874.5322935714285</v>
      </c>
      <c r="BL50" s="45">
        <v>4.6080011985815414E-3</v>
      </c>
      <c r="BM50" s="45">
        <v>3.9199880141845868E-4</v>
      </c>
      <c r="BN50" s="44">
        <v>785.34324560433947</v>
      </c>
      <c r="BO50" s="62">
        <v>2182433.2909211465</v>
      </c>
      <c r="BP50" s="62">
        <v>5235.2639331414757</v>
      </c>
      <c r="BQ50" s="62" t="s">
        <v>92</v>
      </c>
      <c r="BR50" s="62">
        <v>5310.0566689078987</v>
      </c>
      <c r="BS50" s="53">
        <v>6.6950771832507971E-3</v>
      </c>
      <c r="BT50" s="44">
        <v>-10303.77</v>
      </c>
      <c r="BU50" s="44">
        <v>2172129.5209211465</v>
      </c>
      <c r="BV50" s="44">
        <v>0</v>
      </c>
      <c r="BW50" s="44">
        <v>2172129.5209211465</v>
      </c>
      <c r="BX50" s="44">
        <v>30739.814399999999</v>
      </c>
      <c r="BY50" s="44">
        <v>2141389.7065211465</v>
      </c>
    </row>
    <row r="51" spans="1:77">
      <c r="A51">
        <v>2185</v>
      </c>
      <c r="B51" s="60">
        <v>103263</v>
      </c>
      <c r="C51" s="60">
        <v>3302185</v>
      </c>
      <c r="D51" s="61" t="s">
        <v>446</v>
      </c>
      <c r="E51" s="52">
        <v>420</v>
      </c>
      <c r="F51" s="52">
        <v>420</v>
      </c>
      <c r="G51" s="52">
        <v>0</v>
      </c>
      <c r="H51" s="44">
        <v>1501291.0919999999</v>
      </c>
      <c r="I51" s="44">
        <v>0</v>
      </c>
      <c r="J51" s="44">
        <v>0</v>
      </c>
      <c r="K51" s="44">
        <v>66382.186499999909</v>
      </c>
      <c r="L51" s="44">
        <v>0</v>
      </c>
      <c r="M51" s="44">
        <v>113557.19160000017</v>
      </c>
      <c r="N51" s="44">
        <v>0</v>
      </c>
      <c r="O51" s="44">
        <v>4480.671199999997</v>
      </c>
      <c r="P51" s="44">
        <v>44616.046799999946</v>
      </c>
      <c r="Q51" s="44">
        <v>0</v>
      </c>
      <c r="R51" s="44">
        <v>7300.5344999999961</v>
      </c>
      <c r="S51" s="44">
        <v>10852.9596</v>
      </c>
      <c r="T51" s="44">
        <v>4776.7076000000097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60785.945733333225</v>
      </c>
      <c r="AB51" s="44">
        <v>0</v>
      </c>
      <c r="AC51" s="44">
        <v>208927.64857655772</v>
      </c>
      <c r="AD51" s="44">
        <v>0</v>
      </c>
      <c r="AE51" s="44">
        <v>0</v>
      </c>
      <c r="AF51" s="44">
        <v>0</v>
      </c>
      <c r="AG51" s="44">
        <v>138243.54</v>
      </c>
      <c r="AH51" s="44">
        <v>0</v>
      </c>
      <c r="AI51" s="44">
        <v>0</v>
      </c>
      <c r="AJ51" s="44">
        <v>0</v>
      </c>
      <c r="AK51" s="44">
        <v>23760.8331</v>
      </c>
      <c r="AL51" s="44">
        <v>0</v>
      </c>
      <c r="AM51" s="44">
        <v>0</v>
      </c>
      <c r="AN51" s="44">
        <v>0</v>
      </c>
      <c r="AO51" s="44">
        <v>0</v>
      </c>
      <c r="AP51" s="44">
        <v>0</v>
      </c>
      <c r="AQ51" s="44">
        <v>0</v>
      </c>
      <c r="AR51" s="44">
        <v>0</v>
      </c>
      <c r="AS51" s="44">
        <v>0</v>
      </c>
      <c r="AT51" s="44">
        <v>1501291.0919999999</v>
      </c>
      <c r="AU51" s="44">
        <v>521679.89210989105</v>
      </c>
      <c r="AV51" s="44">
        <v>162004.3731</v>
      </c>
      <c r="AW51" s="44">
        <v>409975.3520765577</v>
      </c>
      <c r="AX51" s="62">
        <v>2184975.3572098911</v>
      </c>
      <c r="AY51" s="62">
        <v>2161214.5241098912</v>
      </c>
      <c r="AZ51" s="62">
        <v>4610</v>
      </c>
      <c r="BA51" s="62">
        <v>1936200</v>
      </c>
      <c r="BB51" s="62">
        <v>0</v>
      </c>
      <c r="BC51" s="62">
        <v>0</v>
      </c>
      <c r="BD51" s="62">
        <v>2184975.3572098911</v>
      </c>
      <c r="BE51" s="44">
        <v>2184975.3572098911</v>
      </c>
      <c r="BF51" s="44">
        <v>0</v>
      </c>
      <c r="BG51" s="62">
        <v>1959960.8330999999</v>
      </c>
      <c r="BH51" s="62">
        <v>1797956.46</v>
      </c>
      <c r="BI51" s="44">
        <v>2022970.9841098911</v>
      </c>
      <c r="BJ51" s="44">
        <v>4816.5975812140268</v>
      </c>
      <c r="BK51" s="44">
        <v>4584.0417356974003</v>
      </c>
      <c r="BL51" s="45">
        <v>5.0731616098876171E-2</v>
      </c>
      <c r="BM51" s="45">
        <v>0</v>
      </c>
      <c r="BN51" s="44">
        <v>0</v>
      </c>
      <c r="BO51" s="62">
        <v>2184975.3572098911</v>
      </c>
      <c r="BP51" s="62">
        <v>5145.7488669283121</v>
      </c>
      <c r="BQ51" s="62" t="s">
        <v>92</v>
      </c>
      <c r="BR51" s="62">
        <v>5202.3222790711689</v>
      </c>
      <c r="BS51" s="53">
        <v>4.7715756405480647E-2</v>
      </c>
      <c r="BT51" s="44">
        <v>-10529.4</v>
      </c>
      <c r="BU51" s="44">
        <v>2174445.9572098912</v>
      </c>
      <c r="BV51" s="44">
        <v>0</v>
      </c>
      <c r="BW51" s="44">
        <v>2174445.9572098912</v>
      </c>
      <c r="BX51" s="44">
        <v>23760.8331</v>
      </c>
      <c r="BY51" s="44">
        <v>2150685.1241098912</v>
      </c>
    </row>
    <row r="52" spans="1:77">
      <c r="A52">
        <v>2189</v>
      </c>
      <c r="B52" s="60">
        <v>103265</v>
      </c>
      <c r="C52" s="60">
        <v>3302189</v>
      </c>
      <c r="D52" s="61" t="s">
        <v>476</v>
      </c>
      <c r="E52" s="52">
        <v>232</v>
      </c>
      <c r="F52" s="52">
        <v>232</v>
      </c>
      <c r="G52" s="52">
        <v>0</v>
      </c>
      <c r="H52" s="44">
        <v>829284.60320000001</v>
      </c>
      <c r="I52" s="44">
        <v>0</v>
      </c>
      <c r="J52" s="44">
        <v>0</v>
      </c>
      <c r="K52" s="44">
        <v>58022.948199999955</v>
      </c>
      <c r="L52" s="44">
        <v>0</v>
      </c>
      <c r="M52" s="44">
        <v>100391.14039999995</v>
      </c>
      <c r="N52" s="44">
        <v>0</v>
      </c>
      <c r="O52" s="44">
        <v>943.29919999999845</v>
      </c>
      <c r="P52" s="44">
        <v>1430.0014999999976</v>
      </c>
      <c r="Q52" s="44">
        <v>3125.9333000000056</v>
      </c>
      <c r="R52" s="44">
        <v>15087.771299999951</v>
      </c>
      <c r="S52" s="44">
        <v>40827.800399999956</v>
      </c>
      <c r="T52" s="44">
        <v>66873.906399999963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53917.185510280338</v>
      </c>
      <c r="AB52" s="44">
        <v>0</v>
      </c>
      <c r="AC52" s="44">
        <v>94503.433194772719</v>
      </c>
      <c r="AD52" s="44">
        <v>0</v>
      </c>
      <c r="AE52" s="44">
        <v>0</v>
      </c>
      <c r="AF52" s="44">
        <v>0</v>
      </c>
      <c r="AG52" s="44">
        <v>138243.54</v>
      </c>
      <c r="AH52" s="44">
        <v>0</v>
      </c>
      <c r="AI52" s="44">
        <v>0</v>
      </c>
      <c r="AJ52" s="44">
        <v>0</v>
      </c>
      <c r="AK52" s="44">
        <v>31534.809600000001</v>
      </c>
      <c r="AL52" s="44">
        <v>0</v>
      </c>
      <c r="AM52" s="44">
        <v>0</v>
      </c>
      <c r="AN52" s="44">
        <v>0</v>
      </c>
      <c r="AO52" s="44">
        <v>0</v>
      </c>
      <c r="AP52" s="44">
        <v>0</v>
      </c>
      <c r="AQ52" s="44">
        <v>0</v>
      </c>
      <c r="AR52" s="44">
        <v>0</v>
      </c>
      <c r="AS52" s="44">
        <v>0</v>
      </c>
      <c r="AT52" s="44">
        <v>829284.60320000001</v>
      </c>
      <c r="AU52" s="44">
        <v>435123.41940505279</v>
      </c>
      <c r="AV52" s="44">
        <v>169778.34960000002</v>
      </c>
      <c r="AW52" s="44">
        <v>279319.06370477262</v>
      </c>
      <c r="AX52" s="62">
        <v>1434186.3722050528</v>
      </c>
      <c r="AY52" s="62">
        <v>1402651.5626050527</v>
      </c>
      <c r="AZ52" s="62">
        <v>4610</v>
      </c>
      <c r="BA52" s="62">
        <v>1069520</v>
      </c>
      <c r="BB52" s="62">
        <v>0</v>
      </c>
      <c r="BC52" s="62">
        <v>0</v>
      </c>
      <c r="BD52" s="62">
        <v>1434186.3722050528</v>
      </c>
      <c r="BE52" s="44">
        <v>1434186.372205053</v>
      </c>
      <c r="BF52" s="44">
        <v>0</v>
      </c>
      <c r="BG52" s="62">
        <v>1101054.8096</v>
      </c>
      <c r="BH52" s="62">
        <v>931276.46</v>
      </c>
      <c r="BI52" s="44">
        <v>1264408.0226050527</v>
      </c>
      <c r="BJ52" s="44">
        <v>5450.034580194193</v>
      </c>
      <c r="BK52" s="44">
        <v>5363.8400880308873</v>
      </c>
      <c r="BL52" s="45">
        <v>1.6069549193989584E-2</v>
      </c>
      <c r="BM52" s="45">
        <v>0</v>
      </c>
      <c r="BN52" s="44">
        <v>0</v>
      </c>
      <c r="BO52" s="62">
        <v>1434186.3722050528</v>
      </c>
      <c r="BP52" s="62">
        <v>6045.9119077803998</v>
      </c>
      <c r="BQ52" s="62" t="s">
        <v>92</v>
      </c>
      <c r="BR52" s="62">
        <v>6181.8378112286755</v>
      </c>
      <c r="BS52" s="53">
        <v>2.7598808600427516E-2</v>
      </c>
      <c r="BT52" s="44">
        <v>-5816.24</v>
      </c>
      <c r="BU52" s="44">
        <v>1428370.1322050528</v>
      </c>
      <c r="BV52" s="44">
        <v>0</v>
      </c>
      <c r="BW52" s="44">
        <v>1428370.1322050528</v>
      </c>
      <c r="BX52" s="44">
        <v>31534.809600000001</v>
      </c>
      <c r="BY52" s="44">
        <v>1396835.3226050527</v>
      </c>
    </row>
    <row r="53" spans="1:77">
      <c r="A53">
        <v>2190</v>
      </c>
      <c r="B53" s="60">
        <v>103266</v>
      </c>
      <c r="C53" s="60">
        <v>3302190</v>
      </c>
      <c r="D53" s="61" t="s">
        <v>545</v>
      </c>
      <c r="E53" s="52">
        <v>173</v>
      </c>
      <c r="F53" s="52">
        <v>173</v>
      </c>
      <c r="G53" s="52">
        <v>0</v>
      </c>
      <c r="H53" s="44">
        <v>618388.94979999994</v>
      </c>
      <c r="I53" s="44">
        <v>0</v>
      </c>
      <c r="J53" s="44">
        <v>0</v>
      </c>
      <c r="K53" s="44">
        <v>50155.429799999962</v>
      </c>
      <c r="L53" s="44">
        <v>0</v>
      </c>
      <c r="M53" s="44">
        <v>84756.454600000056</v>
      </c>
      <c r="N53" s="44">
        <v>0</v>
      </c>
      <c r="O53" s="44">
        <v>10847.940799999984</v>
      </c>
      <c r="P53" s="44">
        <v>1716.0018000000005</v>
      </c>
      <c r="Q53" s="44">
        <v>893.12380000000019</v>
      </c>
      <c r="R53" s="44">
        <v>0</v>
      </c>
      <c r="S53" s="44">
        <v>32558.878800000028</v>
      </c>
      <c r="T53" s="44">
        <v>5459.0944000000009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18075.576299999986</v>
      </c>
      <c r="AB53" s="44">
        <v>0</v>
      </c>
      <c r="AC53" s="44">
        <v>51146.520783552296</v>
      </c>
      <c r="AD53" s="44">
        <v>0</v>
      </c>
      <c r="AE53" s="44">
        <v>13121.093952000008</v>
      </c>
      <c r="AF53" s="44">
        <v>0</v>
      </c>
      <c r="AG53" s="44">
        <v>138243.54</v>
      </c>
      <c r="AH53" s="44">
        <v>0</v>
      </c>
      <c r="AI53" s="44">
        <v>0</v>
      </c>
      <c r="AJ53" s="44">
        <v>0</v>
      </c>
      <c r="AK53" s="44">
        <v>21694.673699999999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>
        <v>0</v>
      </c>
      <c r="AS53" s="44">
        <v>0</v>
      </c>
      <c r="AT53" s="44">
        <v>618388.94979999994</v>
      </c>
      <c r="AU53" s="44">
        <v>268730.1150355523</v>
      </c>
      <c r="AV53" s="44">
        <v>159938.21370000002</v>
      </c>
      <c r="AW53" s="44">
        <v>175259.43027355231</v>
      </c>
      <c r="AX53" s="62">
        <v>1047057.2785355523</v>
      </c>
      <c r="AY53" s="62">
        <v>1025362.6048355523</v>
      </c>
      <c r="AZ53" s="62">
        <v>4610</v>
      </c>
      <c r="BA53" s="62">
        <v>797530</v>
      </c>
      <c r="BB53" s="62">
        <v>0</v>
      </c>
      <c r="BC53" s="62">
        <v>0</v>
      </c>
      <c r="BD53" s="62">
        <v>1047057.2785355523</v>
      </c>
      <c r="BE53" s="44">
        <v>1047057.2785355521</v>
      </c>
      <c r="BF53" s="44">
        <v>0</v>
      </c>
      <c r="BG53" s="62">
        <v>819224.67370000004</v>
      </c>
      <c r="BH53" s="62">
        <v>659286.46</v>
      </c>
      <c r="BI53" s="44">
        <v>887119.06483555224</v>
      </c>
      <c r="BJ53" s="44">
        <v>5127.8558661014577</v>
      </c>
      <c r="BK53" s="44">
        <v>4915.3907238095226</v>
      </c>
      <c r="BL53" s="45">
        <v>4.3224466625365339E-2</v>
      </c>
      <c r="BM53" s="45">
        <v>0</v>
      </c>
      <c r="BN53" s="44">
        <v>0</v>
      </c>
      <c r="BO53" s="62">
        <v>1047057.2785355523</v>
      </c>
      <c r="BP53" s="62">
        <v>5926.9514730378742</v>
      </c>
      <c r="BQ53" s="62" t="s">
        <v>92</v>
      </c>
      <c r="BR53" s="62">
        <v>6052.3542111881634</v>
      </c>
      <c r="BS53" s="53">
        <v>3.2183325814866048E-2</v>
      </c>
      <c r="BT53" s="44">
        <v>-4337.1099999999997</v>
      </c>
      <c r="BU53" s="44">
        <v>1042720.1685355523</v>
      </c>
      <c r="BV53" s="44">
        <v>0</v>
      </c>
      <c r="BW53" s="44">
        <v>1042720.1685355523</v>
      </c>
      <c r="BX53" s="44">
        <v>21694.673699999999</v>
      </c>
      <c r="BY53" s="44">
        <v>1021025.4948355523</v>
      </c>
    </row>
    <row r="54" spans="1:77">
      <c r="A54">
        <v>2191</v>
      </c>
      <c r="B54" s="60">
        <v>103267</v>
      </c>
      <c r="C54" s="60">
        <v>3302191</v>
      </c>
      <c r="D54" s="61" t="s">
        <v>626</v>
      </c>
      <c r="E54" s="52">
        <v>209</v>
      </c>
      <c r="F54" s="52">
        <v>209</v>
      </c>
      <c r="G54" s="52">
        <v>0</v>
      </c>
      <c r="H54" s="44">
        <v>747071.04339999997</v>
      </c>
      <c r="I54" s="44">
        <v>0</v>
      </c>
      <c r="J54" s="44">
        <v>0</v>
      </c>
      <c r="K54" s="44">
        <v>64415.306900000025</v>
      </c>
      <c r="L54" s="44">
        <v>0</v>
      </c>
      <c r="M54" s="44">
        <v>108619.9224</v>
      </c>
      <c r="N54" s="44">
        <v>0</v>
      </c>
      <c r="O54" s="44">
        <v>707.47439999999847</v>
      </c>
      <c r="P54" s="44">
        <v>5434.0056999999988</v>
      </c>
      <c r="Q54" s="44">
        <v>13396.856999999967</v>
      </c>
      <c r="R54" s="44">
        <v>41369.695499999958</v>
      </c>
      <c r="S54" s="44">
        <v>6718.4987999999948</v>
      </c>
      <c r="T54" s="44">
        <v>32754.566400000011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17282.516494413441</v>
      </c>
      <c r="AB54" s="44">
        <v>0</v>
      </c>
      <c r="AC54" s="44">
        <v>72082.813213125017</v>
      </c>
      <c r="AD54" s="44">
        <v>0</v>
      </c>
      <c r="AE54" s="44">
        <v>443.15001599999175</v>
      </c>
      <c r="AF54" s="44">
        <v>0</v>
      </c>
      <c r="AG54" s="44">
        <v>138243.54</v>
      </c>
      <c r="AH54" s="44">
        <v>0</v>
      </c>
      <c r="AI54" s="44">
        <v>0</v>
      </c>
      <c r="AJ54" s="44">
        <v>0</v>
      </c>
      <c r="AK54" s="44">
        <v>15367.064399999999</v>
      </c>
      <c r="AL54" s="44">
        <v>0</v>
      </c>
      <c r="AM54" s="44">
        <v>0</v>
      </c>
      <c r="AN54" s="44">
        <v>0</v>
      </c>
      <c r="AO54" s="44">
        <v>0</v>
      </c>
      <c r="AP54" s="44">
        <v>0</v>
      </c>
      <c r="AQ54" s="44">
        <v>0</v>
      </c>
      <c r="AR54" s="44">
        <v>0</v>
      </c>
      <c r="AS54" s="44">
        <v>0</v>
      </c>
      <c r="AT54" s="44">
        <v>747071.04339999997</v>
      </c>
      <c r="AU54" s="44">
        <v>363224.80682353833</v>
      </c>
      <c r="AV54" s="44">
        <v>153610.60440000001</v>
      </c>
      <c r="AW54" s="44">
        <v>246144.52893312502</v>
      </c>
      <c r="AX54" s="62">
        <v>1263906.4546235383</v>
      </c>
      <c r="AY54" s="62">
        <v>1248539.3902235383</v>
      </c>
      <c r="AZ54" s="62">
        <v>4610</v>
      </c>
      <c r="BA54" s="62">
        <v>963490</v>
      </c>
      <c r="BB54" s="62">
        <v>0</v>
      </c>
      <c r="BC54" s="62">
        <v>0</v>
      </c>
      <c r="BD54" s="62">
        <v>1263906.4546235383</v>
      </c>
      <c r="BE54" s="44">
        <v>1263906.4546235385</v>
      </c>
      <c r="BF54" s="44">
        <v>0</v>
      </c>
      <c r="BG54" s="62">
        <v>978857.06440000003</v>
      </c>
      <c r="BH54" s="62">
        <v>825246.46</v>
      </c>
      <c r="BI54" s="44">
        <v>1110295.8502235382</v>
      </c>
      <c r="BJ54" s="44">
        <v>5312.420335997791</v>
      </c>
      <c r="BK54" s="44">
        <v>6480.1791338095227</v>
      </c>
      <c r="BL54" s="45">
        <v>-0.18020470942216651</v>
      </c>
      <c r="BM54" s="45">
        <v>0.18520470942216652</v>
      </c>
      <c r="BN54" s="44">
        <v>250833.3759374829</v>
      </c>
      <c r="BO54" s="62">
        <v>1514739.8305610211</v>
      </c>
      <c r="BP54" s="62">
        <v>7174.032373976177</v>
      </c>
      <c r="BQ54" s="62" t="s">
        <v>92</v>
      </c>
      <c r="BR54" s="62">
        <v>7247.5589978996222</v>
      </c>
      <c r="BS54" s="53">
        <v>5.2752629410670604E-3</v>
      </c>
      <c r="BT54" s="44">
        <v>-5239.63</v>
      </c>
      <c r="BU54" s="44">
        <v>1509500.2005610212</v>
      </c>
      <c r="BV54" s="44">
        <v>0</v>
      </c>
      <c r="BW54" s="44">
        <v>1509500.2005610212</v>
      </c>
      <c r="BX54" s="44">
        <v>15367.064399999999</v>
      </c>
      <c r="BY54" s="44">
        <v>1494133.1361610212</v>
      </c>
    </row>
    <row r="55" spans="1:77">
      <c r="A55">
        <v>2192</v>
      </c>
      <c r="B55" s="60">
        <v>103268</v>
      </c>
      <c r="C55" s="60">
        <v>3302192</v>
      </c>
      <c r="D55" s="61" t="s">
        <v>834</v>
      </c>
      <c r="E55" s="52">
        <v>479</v>
      </c>
      <c r="F55" s="52">
        <v>479</v>
      </c>
      <c r="G55" s="52">
        <v>0</v>
      </c>
      <c r="H55" s="44">
        <v>1712186.7453999999</v>
      </c>
      <c r="I55" s="44">
        <v>0</v>
      </c>
      <c r="J55" s="44">
        <v>0</v>
      </c>
      <c r="K55" s="44">
        <v>100802.57949999996</v>
      </c>
      <c r="L55" s="44">
        <v>0</v>
      </c>
      <c r="M55" s="44">
        <v>183501.83860000002</v>
      </c>
      <c r="N55" s="44">
        <v>0</v>
      </c>
      <c r="O55" s="44">
        <v>1650.773599999995</v>
      </c>
      <c r="P55" s="44">
        <v>47190.04949999995</v>
      </c>
      <c r="Q55" s="44">
        <v>35278.390100000033</v>
      </c>
      <c r="R55" s="44">
        <v>49156.932300000029</v>
      </c>
      <c r="S55" s="44">
        <v>50130.337200000104</v>
      </c>
      <c r="T55" s="44">
        <v>5459.0944000000118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47957.742899999866</v>
      </c>
      <c r="AB55" s="44">
        <v>0</v>
      </c>
      <c r="AC55" s="44">
        <v>151640.08087996484</v>
      </c>
      <c r="AD55" s="44">
        <v>0</v>
      </c>
      <c r="AE55" s="44">
        <v>0</v>
      </c>
      <c r="AF55" s="44">
        <v>0</v>
      </c>
      <c r="AG55" s="44">
        <v>138243.54</v>
      </c>
      <c r="AH55" s="44">
        <v>0</v>
      </c>
      <c r="AI55" s="44">
        <v>0</v>
      </c>
      <c r="AJ55" s="44">
        <v>0</v>
      </c>
      <c r="AK55" s="44">
        <v>33654.796799999996</v>
      </c>
      <c r="AL55" s="44">
        <v>0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S55" s="44">
        <v>0</v>
      </c>
      <c r="AT55" s="44">
        <v>1712186.7453999999</v>
      </c>
      <c r="AU55" s="44">
        <v>672767.81897996494</v>
      </c>
      <c r="AV55" s="44">
        <v>171898.33679999999</v>
      </c>
      <c r="AW55" s="44">
        <v>473834.41574996489</v>
      </c>
      <c r="AX55" s="62">
        <v>2556852.9011799651</v>
      </c>
      <c r="AY55" s="62">
        <v>2523198.104379965</v>
      </c>
      <c r="AZ55" s="62">
        <v>4610</v>
      </c>
      <c r="BA55" s="62">
        <v>2208190</v>
      </c>
      <c r="BB55" s="62">
        <v>0</v>
      </c>
      <c r="BC55" s="62">
        <v>0</v>
      </c>
      <c r="BD55" s="62">
        <v>2556852.9011799651</v>
      </c>
      <c r="BE55" s="44">
        <v>2556852.9011799647</v>
      </c>
      <c r="BF55" s="44">
        <v>0</v>
      </c>
      <c r="BG55" s="62">
        <v>2241844.7968000001</v>
      </c>
      <c r="BH55" s="62">
        <v>2069946.4600000002</v>
      </c>
      <c r="BI55" s="44">
        <v>2384954.564379965</v>
      </c>
      <c r="BJ55" s="44">
        <v>4979.0283181210125</v>
      </c>
      <c r="BK55" s="44">
        <v>4949.3193466666653</v>
      </c>
      <c r="BL55" s="45">
        <v>6.0026378120773298E-3</v>
      </c>
      <c r="BM55" s="45">
        <v>0</v>
      </c>
      <c r="BN55" s="44">
        <v>0</v>
      </c>
      <c r="BO55" s="62">
        <v>2556852.9011799651</v>
      </c>
      <c r="BP55" s="62">
        <v>5267.6369611272758</v>
      </c>
      <c r="BQ55" s="62" t="s">
        <v>92</v>
      </c>
      <c r="BR55" s="62">
        <v>5337.8974972441856</v>
      </c>
      <c r="BS55" s="53">
        <v>1.0113558095614206E-2</v>
      </c>
      <c r="BT55" s="44">
        <v>-12008.53</v>
      </c>
      <c r="BU55" s="44">
        <v>2544844.3711799653</v>
      </c>
      <c r="BV55" s="44">
        <v>0</v>
      </c>
      <c r="BW55" s="44">
        <v>2544844.3711799653</v>
      </c>
      <c r="BX55" s="44">
        <v>33654.796799999996</v>
      </c>
      <c r="BY55" s="44">
        <v>2511189.5743799652</v>
      </c>
    </row>
    <row r="56" spans="1:77">
      <c r="A56">
        <v>2225</v>
      </c>
      <c r="B56" s="60">
        <v>103279</v>
      </c>
      <c r="C56" s="60">
        <v>3302225</v>
      </c>
      <c r="D56" s="61" t="s">
        <v>405</v>
      </c>
      <c r="E56" s="52">
        <v>370</v>
      </c>
      <c r="F56" s="52">
        <v>370</v>
      </c>
      <c r="G56" s="52">
        <v>0</v>
      </c>
      <c r="H56" s="44">
        <v>1322565.9619999998</v>
      </c>
      <c r="I56" s="44">
        <v>0</v>
      </c>
      <c r="J56" s="44">
        <v>0</v>
      </c>
      <c r="K56" s="44">
        <v>80642.06359999995</v>
      </c>
      <c r="L56" s="44">
        <v>0</v>
      </c>
      <c r="M56" s="44">
        <v>144003.68500000003</v>
      </c>
      <c r="N56" s="44">
        <v>0</v>
      </c>
      <c r="O56" s="44">
        <v>943.29919999999902</v>
      </c>
      <c r="P56" s="44">
        <v>286.00029999999964</v>
      </c>
      <c r="Q56" s="44">
        <v>52694.304200000013</v>
      </c>
      <c r="R56" s="44">
        <v>21901.603500000067</v>
      </c>
      <c r="S56" s="44">
        <v>26873.995200000089</v>
      </c>
      <c r="T56" s="44">
        <v>48449.46280000003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25772.497999999912</v>
      </c>
      <c r="AB56" s="44">
        <v>0</v>
      </c>
      <c r="AC56" s="44">
        <v>120259.60406500407</v>
      </c>
      <c r="AD56" s="44">
        <v>0</v>
      </c>
      <c r="AE56" s="44">
        <v>1734.0652800000121</v>
      </c>
      <c r="AF56" s="44">
        <v>0</v>
      </c>
      <c r="AG56" s="44">
        <v>138243.54</v>
      </c>
      <c r="AH56" s="44">
        <v>0</v>
      </c>
      <c r="AI56" s="44">
        <v>0</v>
      </c>
      <c r="AJ56" s="44">
        <v>0</v>
      </c>
      <c r="AK56" s="44">
        <v>20391.631000000001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44">
        <v>1322565.9619999998</v>
      </c>
      <c r="AU56" s="44">
        <v>523560.58114500419</v>
      </c>
      <c r="AV56" s="44">
        <v>158635.171</v>
      </c>
      <c r="AW56" s="44">
        <v>374285.10906500416</v>
      </c>
      <c r="AX56" s="62">
        <v>2004761.7141450041</v>
      </c>
      <c r="AY56" s="62">
        <v>1984370.083145004</v>
      </c>
      <c r="AZ56" s="62">
        <v>4610</v>
      </c>
      <c r="BA56" s="62">
        <v>1705700</v>
      </c>
      <c r="BB56" s="62">
        <v>0</v>
      </c>
      <c r="BC56" s="62">
        <v>0</v>
      </c>
      <c r="BD56" s="62">
        <v>2004761.7141450041</v>
      </c>
      <c r="BE56" s="44">
        <v>2004761.7141450038</v>
      </c>
      <c r="BF56" s="44">
        <v>0</v>
      </c>
      <c r="BG56" s="62">
        <v>1726091.6310000001</v>
      </c>
      <c r="BH56" s="62">
        <v>1567456.46</v>
      </c>
      <c r="BI56" s="44">
        <v>1846126.543145004</v>
      </c>
      <c r="BJ56" s="44">
        <v>4989.5311976891999</v>
      </c>
      <c r="BK56" s="44">
        <v>4922.7051529577457</v>
      </c>
      <c r="BL56" s="45">
        <v>1.35750654680796E-2</v>
      </c>
      <c r="BM56" s="45">
        <v>0</v>
      </c>
      <c r="BN56" s="44">
        <v>0</v>
      </c>
      <c r="BO56" s="62">
        <v>2004761.7141450041</v>
      </c>
      <c r="BP56" s="62">
        <v>5363.162386878389</v>
      </c>
      <c r="BQ56" s="62" t="s">
        <v>92</v>
      </c>
      <c r="BR56" s="62">
        <v>5418.2749030946052</v>
      </c>
      <c r="BS56" s="53">
        <v>9.3860235983931339E-3</v>
      </c>
      <c r="BT56" s="44">
        <v>-9275.9</v>
      </c>
      <c r="BU56" s="44">
        <v>1995485.8141450041</v>
      </c>
      <c r="BV56" s="44">
        <v>0</v>
      </c>
      <c r="BW56" s="44">
        <v>1995485.8141450041</v>
      </c>
      <c r="BX56" s="44">
        <v>20391.631000000001</v>
      </c>
      <c r="BY56" s="44">
        <v>1975094.1831450041</v>
      </c>
    </row>
    <row r="57" spans="1:77">
      <c r="A57">
        <v>2227</v>
      </c>
      <c r="B57" s="60">
        <v>103281</v>
      </c>
      <c r="C57" s="60">
        <v>3302227</v>
      </c>
      <c r="D57" s="61" t="s">
        <v>852</v>
      </c>
      <c r="E57" s="52">
        <v>423</v>
      </c>
      <c r="F57" s="52">
        <v>423</v>
      </c>
      <c r="G57" s="52">
        <v>0</v>
      </c>
      <c r="H57" s="44">
        <v>1512014.5998</v>
      </c>
      <c r="I57" s="44">
        <v>0</v>
      </c>
      <c r="J57" s="44">
        <v>0</v>
      </c>
      <c r="K57" s="44">
        <v>113587.29690000003</v>
      </c>
      <c r="L57" s="44">
        <v>0</v>
      </c>
      <c r="M57" s="44">
        <v>191730.62060000011</v>
      </c>
      <c r="N57" s="44">
        <v>0</v>
      </c>
      <c r="O57" s="44">
        <v>1414.9488000000033</v>
      </c>
      <c r="P57" s="44">
        <v>12012.012600000004</v>
      </c>
      <c r="Q57" s="44">
        <v>15183.10460000001</v>
      </c>
      <c r="R57" s="44">
        <v>5353.7252999999982</v>
      </c>
      <c r="S57" s="44">
        <v>130235.51520000004</v>
      </c>
      <c r="T57" s="44">
        <v>13647.736000000012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63649.257304972438</v>
      </c>
      <c r="AB57" s="44">
        <v>0</v>
      </c>
      <c r="AC57" s="44">
        <v>287294.67630200891</v>
      </c>
      <c r="AD57" s="44">
        <v>0</v>
      </c>
      <c r="AE57" s="44">
        <v>17937.941952000074</v>
      </c>
      <c r="AF57" s="44">
        <v>0</v>
      </c>
      <c r="AG57" s="44">
        <v>138243.54</v>
      </c>
      <c r="AH57" s="44">
        <v>0</v>
      </c>
      <c r="AI57" s="44">
        <v>0</v>
      </c>
      <c r="AJ57" s="44">
        <v>0</v>
      </c>
      <c r="AK57" s="44">
        <v>20919.8665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S57" s="44">
        <v>0</v>
      </c>
      <c r="AT57" s="44">
        <v>1512014.5998</v>
      </c>
      <c r="AU57" s="44">
        <v>852046.83555898163</v>
      </c>
      <c r="AV57" s="44">
        <v>159163.40650000001</v>
      </c>
      <c r="AW57" s="44">
        <v>604477.88629200903</v>
      </c>
      <c r="AX57" s="62">
        <v>2523224.8418589816</v>
      </c>
      <c r="AY57" s="62">
        <v>2502304.9753589816</v>
      </c>
      <c r="AZ57" s="62">
        <v>4610</v>
      </c>
      <c r="BA57" s="62">
        <v>1950030</v>
      </c>
      <c r="BB57" s="62">
        <v>0</v>
      </c>
      <c r="BC57" s="62">
        <v>0</v>
      </c>
      <c r="BD57" s="62">
        <v>2523224.8418589816</v>
      </c>
      <c r="BE57" s="44">
        <v>2523224.8418589812</v>
      </c>
      <c r="BF57" s="44">
        <v>0</v>
      </c>
      <c r="BG57" s="62">
        <v>1970949.8665</v>
      </c>
      <c r="BH57" s="62">
        <v>1811786.46</v>
      </c>
      <c r="BI57" s="44">
        <v>2364061.4353589816</v>
      </c>
      <c r="BJ57" s="44">
        <v>5588.7977195247795</v>
      </c>
      <c r="BK57" s="44">
        <v>5407.3677155844161</v>
      </c>
      <c r="BL57" s="45">
        <v>3.3552370299779921E-2</v>
      </c>
      <c r="BM57" s="45">
        <v>0</v>
      </c>
      <c r="BN57" s="44">
        <v>0</v>
      </c>
      <c r="BO57" s="62">
        <v>2523224.8418589816</v>
      </c>
      <c r="BP57" s="62">
        <v>5915.6145989574034</v>
      </c>
      <c r="BQ57" s="62" t="s">
        <v>92</v>
      </c>
      <c r="BR57" s="62">
        <v>5965.0705481299801</v>
      </c>
      <c r="BS57" s="53">
        <v>2.5067726589035111E-2</v>
      </c>
      <c r="BT57" s="44">
        <v>-10604.61</v>
      </c>
      <c r="BU57" s="44">
        <v>2512620.2318589818</v>
      </c>
      <c r="BV57" s="44">
        <v>0</v>
      </c>
      <c r="BW57" s="44">
        <v>2512620.2318589818</v>
      </c>
      <c r="BX57" s="44">
        <v>20919.8665</v>
      </c>
      <c r="BY57" s="44">
        <v>2491700.3653589818</v>
      </c>
    </row>
    <row r="58" spans="1:77">
      <c r="A58">
        <v>2231</v>
      </c>
      <c r="B58" s="60">
        <v>103284</v>
      </c>
      <c r="C58" s="60">
        <v>3302231</v>
      </c>
      <c r="D58" s="61" t="s">
        <v>855</v>
      </c>
      <c r="E58" s="52">
        <v>425</v>
      </c>
      <c r="F58" s="52">
        <v>425</v>
      </c>
      <c r="G58" s="52">
        <v>0</v>
      </c>
      <c r="H58" s="44">
        <v>1519163.605</v>
      </c>
      <c r="I58" s="44">
        <v>0</v>
      </c>
      <c r="J58" s="44">
        <v>0</v>
      </c>
      <c r="K58" s="44">
        <v>74741.424799999921</v>
      </c>
      <c r="L58" s="44">
        <v>0</v>
      </c>
      <c r="M58" s="44">
        <v>130014.75560000002</v>
      </c>
      <c r="N58" s="44">
        <v>0</v>
      </c>
      <c r="O58" s="44">
        <v>7310.5687999999973</v>
      </c>
      <c r="P58" s="44">
        <v>73788.077400000024</v>
      </c>
      <c r="Q58" s="44">
        <v>22328.094999999921</v>
      </c>
      <c r="R58" s="44">
        <v>10707.450599999991</v>
      </c>
      <c r="S58" s="44">
        <v>6201.6912000000093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69114.409726666752</v>
      </c>
      <c r="AB58" s="44">
        <v>0</v>
      </c>
      <c r="AC58" s="44">
        <v>149525.37263481645</v>
      </c>
      <c r="AD58" s="44">
        <v>0</v>
      </c>
      <c r="AE58" s="44">
        <v>9152.0112000000063</v>
      </c>
      <c r="AF58" s="44">
        <v>0</v>
      </c>
      <c r="AG58" s="44">
        <v>138243.54</v>
      </c>
      <c r="AH58" s="44">
        <v>0</v>
      </c>
      <c r="AI58" s="44">
        <v>0</v>
      </c>
      <c r="AJ58" s="44">
        <v>0</v>
      </c>
      <c r="AK58" s="44">
        <v>25697.861400000002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S58" s="44">
        <v>0</v>
      </c>
      <c r="AT58" s="44">
        <v>1519163.605</v>
      </c>
      <c r="AU58" s="44">
        <v>552883.85696148302</v>
      </c>
      <c r="AV58" s="44">
        <v>163941.4014</v>
      </c>
      <c r="AW58" s="44">
        <v>388029.58458481636</v>
      </c>
      <c r="AX58" s="62">
        <v>2235988.863361483</v>
      </c>
      <c r="AY58" s="62">
        <v>2210291.0019614832</v>
      </c>
      <c r="AZ58" s="62">
        <v>4610</v>
      </c>
      <c r="BA58" s="62">
        <v>1959250</v>
      </c>
      <c r="BB58" s="62">
        <v>0</v>
      </c>
      <c r="BC58" s="62">
        <v>0</v>
      </c>
      <c r="BD58" s="62">
        <v>2235988.863361483</v>
      </c>
      <c r="BE58" s="44">
        <v>2235988.8633614834</v>
      </c>
      <c r="BF58" s="44">
        <v>0</v>
      </c>
      <c r="BG58" s="62">
        <v>1984947.8614000001</v>
      </c>
      <c r="BH58" s="62">
        <v>1821006.46</v>
      </c>
      <c r="BI58" s="44">
        <v>2072047.4619614829</v>
      </c>
      <c r="BJ58" s="44">
        <v>4875.4057928505481</v>
      </c>
      <c r="BK58" s="44">
        <v>4826.8788819861429</v>
      </c>
      <c r="BL58" s="45">
        <v>1.0053475972953673E-2</v>
      </c>
      <c r="BM58" s="45">
        <v>0</v>
      </c>
      <c r="BN58" s="44">
        <v>0</v>
      </c>
      <c r="BO58" s="62">
        <v>2235988.863361483</v>
      </c>
      <c r="BP58" s="62">
        <v>5200.6847104976077</v>
      </c>
      <c r="BQ58" s="62" t="s">
        <v>92</v>
      </c>
      <c r="BR58" s="62">
        <v>5261.1502667329014</v>
      </c>
      <c r="BS58" s="53">
        <v>1.1027091473334805E-2</v>
      </c>
      <c r="BT58" s="44">
        <v>-10654.75</v>
      </c>
      <c r="BU58" s="44">
        <v>2225334.113361483</v>
      </c>
      <c r="BV58" s="44">
        <v>0</v>
      </c>
      <c r="BW58" s="44">
        <v>2225334.113361483</v>
      </c>
      <c r="BX58" s="44">
        <v>25697.861400000002</v>
      </c>
      <c r="BY58" s="44">
        <v>2199636.2519614832</v>
      </c>
    </row>
    <row r="59" spans="1:77">
      <c r="A59">
        <v>2236</v>
      </c>
      <c r="B59" s="60">
        <v>103286</v>
      </c>
      <c r="C59" s="60">
        <v>3302236</v>
      </c>
      <c r="D59" s="61" t="s">
        <v>260</v>
      </c>
      <c r="E59" s="52">
        <v>221</v>
      </c>
      <c r="F59" s="52">
        <v>221</v>
      </c>
      <c r="G59" s="52">
        <v>0</v>
      </c>
      <c r="H59" s="44">
        <v>789965.07459999993</v>
      </c>
      <c r="I59" s="44">
        <v>0</v>
      </c>
      <c r="J59" s="44">
        <v>0</v>
      </c>
      <c r="K59" s="44">
        <v>60973.267600000028</v>
      </c>
      <c r="L59" s="44">
        <v>0</v>
      </c>
      <c r="M59" s="44">
        <v>102859.77500000004</v>
      </c>
      <c r="N59" s="44">
        <v>0</v>
      </c>
      <c r="O59" s="44">
        <v>4952.3207999999977</v>
      </c>
      <c r="P59" s="44">
        <v>14300.015000000018</v>
      </c>
      <c r="Q59" s="44">
        <v>1339.6857000000034</v>
      </c>
      <c r="R59" s="44">
        <v>2433.5115000000028</v>
      </c>
      <c r="S59" s="44">
        <v>24806.764800000044</v>
      </c>
      <c r="T59" s="44">
        <v>39578.434399999976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8288.9926000000069</v>
      </c>
      <c r="AB59" s="44">
        <v>0</v>
      </c>
      <c r="AC59" s="44">
        <v>88919.822255453662</v>
      </c>
      <c r="AD59" s="44">
        <v>0</v>
      </c>
      <c r="AE59" s="44">
        <v>0</v>
      </c>
      <c r="AF59" s="44">
        <v>0</v>
      </c>
      <c r="AG59" s="44">
        <v>138243.54</v>
      </c>
      <c r="AH59" s="44">
        <v>0</v>
      </c>
      <c r="AI59" s="44">
        <v>0</v>
      </c>
      <c r="AJ59" s="44">
        <v>0</v>
      </c>
      <c r="AK59" s="44">
        <v>16027.0987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S59" s="44">
        <v>0</v>
      </c>
      <c r="AT59" s="44">
        <v>789965.07459999993</v>
      </c>
      <c r="AU59" s="44">
        <v>348452.58965545375</v>
      </c>
      <c r="AV59" s="44">
        <v>154270.63870000001</v>
      </c>
      <c r="AW59" s="44">
        <v>254039.96338545374</v>
      </c>
      <c r="AX59" s="62">
        <v>1292688.3029554537</v>
      </c>
      <c r="AY59" s="62">
        <v>1276661.2042554538</v>
      </c>
      <c r="AZ59" s="62">
        <v>4610</v>
      </c>
      <c r="BA59" s="62">
        <v>1018810</v>
      </c>
      <c r="BB59" s="62">
        <v>0</v>
      </c>
      <c r="BC59" s="62">
        <v>0</v>
      </c>
      <c r="BD59" s="62">
        <v>1292688.3029554537</v>
      </c>
      <c r="BE59" s="44">
        <v>1292688.3029554537</v>
      </c>
      <c r="BF59" s="44">
        <v>0</v>
      </c>
      <c r="BG59" s="62">
        <v>1034837.0987</v>
      </c>
      <c r="BH59" s="62">
        <v>880566.46</v>
      </c>
      <c r="BI59" s="44">
        <v>1138417.6642554537</v>
      </c>
      <c r="BJ59" s="44">
        <v>5151.2111504771665</v>
      </c>
      <c r="BK59" s="44">
        <v>4989.3833990867579</v>
      </c>
      <c r="BL59" s="45">
        <v>3.243441893441764E-2</v>
      </c>
      <c r="BM59" s="45">
        <v>0</v>
      </c>
      <c r="BN59" s="44">
        <v>0</v>
      </c>
      <c r="BO59" s="62">
        <v>1292688.3029554537</v>
      </c>
      <c r="BP59" s="62">
        <v>5776.7475305676644</v>
      </c>
      <c r="BQ59" s="62" t="s">
        <v>92</v>
      </c>
      <c r="BR59" s="62">
        <v>5849.2683391649489</v>
      </c>
      <c r="BS59" s="53">
        <v>2.768677014977694E-2</v>
      </c>
      <c r="BT59" s="44">
        <v>-5540.47</v>
      </c>
      <c r="BU59" s="44">
        <v>1287147.8329554538</v>
      </c>
      <c r="BV59" s="44">
        <v>0</v>
      </c>
      <c r="BW59" s="44">
        <v>1287147.8329554538</v>
      </c>
      <c r="BX59" s="44">
        <v>16027.0987</v>
      </c>
      <c r="BY59" s="44">
        <v>1271120.7342554538</v>
      </c>
    </row>
    <row r="60" spans="1:77">
      <c r="A60">
        <v>2238</v>
      </c>
      <c r="B60" s="60">
        <v>103288</v>
      </c>
      <c r="C60" s="60">
        <v>3302238</v>
      </c>
      <c r="D60" s="61" t="s">
        <v>257</v>
      </c>
      <c r="E60" s="52">
        <v>156</v>
      </c>
      <c r="F60" s="52">
        <v>156</v>
      </c>
      <c r="G60" s="52">
        <v>0</v>
      </c>
      <c r="H60" s="44">
        <v>557622.40559999994</v>
      </c>
      <c r="I60" s="44">
        <v>0</v>
      </c>
      <c r="J60" s="44">
        <v>0</v>
      </c>
      <c r="K60" s="44">
        <v>33928.673099999978</v>
      </c>
      <c r="L60" s="44">
        <v>0</v>
      </c>
      <c r="M60" s="44">
        <v>56778.595799999966</v>
      </c>
      <c r="N60" s="44">
        <v>0</v>
      </c>
      <c r="O60" s="44">
        <v>4480.671200000008</v>
      </c>
      <c r="P60" s="44">
        <v>10582.011099999991</v>
      </c>
      <c r="Q60" s="44">
        <v>893.12379999999848</v>
      </c>
      <c r="R60" s="44">
        <v>2920.2138000000023</v>
      </c>
      <c r="S60" s="44">
        <v>11369.767199999998</v>
      </c>
      <c r="T60" s="44">
        <v>30707.405999999952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9864.0161592232671</v>
      </c>
      <c r="AB60" s="44">
        <v>0</v>
      </c>
      <c r="AC60" s="44">
        <v>62903.65592727271</v>
      </c>
      <c r="AD60" s="44">
        <v>0</v>
      </c>
      <c r="AE60" s="44">
        <v>0</v>
      </c>
      <c r="AF60" s="44">
        <v>0</v>
      </c>
      <c r="AG60" s="44">
        <v>138243.54</v>
      </c>
      <c r="AH60" s="44">
        <v>0</v>
      </c>
      <c r="AI60" s="44">
        <v>0</v>
      </c>
      <c r="AJ60" s="44">
        <v>0</v>
      </c>
      <c r="AK60" s="44">
        <v>13652.722100000001</v>
      </c>
      <c r="AL60" s="44">
        <v>0</v>
      </c>
      <c r="AM60" s="44">
        <v>0</v>
      </c>
      <c r="AN60" s="44">
        <v>0</v>
      </c>
      <c r="AO60" s="44">
        <v>0</v>
      </c>
      <c r="AP60" s="44">
        <v>0</v>
      </c>
      <c r="AQ60" s="44">
        <v>0</v>
      </c>
      <c r="AR60" s="44">
        <v>0</v>
      </c>
      <c r="AS60" s="44">
        <v>0</v>
      </c>
      <c r="AT60" s="44">
        <v>557622.40559999994</v>
      </c>
      <c r="AU60" s="44">
        <v>224428.13408649588</v>
      </c>
      <c r="AV60" s="44">
        <v>151896.26210000002</v>
      </c>
      <c r="AW60" s="44">
        <v>166615.00720727266</v>
      </c>
      <c r="AX60" s="62">
        <v>933946.80178649584</v>
      </c>
      <c r="AY60" s="62">
        <v>920294.07968649582</v>
      </c>
      <c r="AZ60" s="62">
        <v>4610</v>
      </c>
      <c r="BA60" s="62">
        <v>719160</v>
      </c>
      <c r="BB60" s="62">
        <v>0</v>
      </c>
      <c r="BC60" s="62">
        <v>0</v>
      </c>
      <c r="BD60" s="62">
        <v>933946.80178649584</v>
      </c>
      <c r="BE60" s="44">
        <v>933946.80178649595</v>
      </c>
      <c r="BF60" s="44">
        <v>0</v>
      </c>
      <c r="BG60" s="62">
        <v>732812.72210000001</v>
      </c>
      <c r="BH60" s="62">
        <v>580916.46</v>
      </c>
      <c r="BI60" s="44">
        <v>782050.53968649579</v>
      </c>
      <c r="BJ60" s="44">
        <v>5013.1444851698452</v>
      </c>
      <c r="BK60" s="44">
        <v>4922.348187421384</v>
      </c>
      <c r="BL60" s="45">
        <v>1.8445728398588906E-2</v>
      </c>
      <c r="BM60" s="45">
        <v>0</v>
      </c>
      <c r="BN60" s="44">
        <v>0</v>
      </c>
      <c r="BO60" s="62">
        <v>933946.80178649584</v>
      </c>
      <c r="BP60" s="62">
        <v>5899.3210236313835</v>
      </c>
      <c r="BQ60" s="62" t="s">
        <v>92</v>
      </c>
      <c r="BR60" s="62">
        <v>5986.8384729903582</v>
      </c>
      <c r="BS60" s="53">
        <v>1.9006913159166583E-2</v>
      </c>
      <c r="BT60" s="44">
        <v>-3910.92</v>
      </c>
      <c r="BU60" s="44">
        <v>930035.8817864958</v>
      </c>
      <c r="BV60" s="44">
        <v>0</v>
      </c>
      <c r="BW60" s="44">
        <v>930035.8817864958</v>
      </c>
      <c r="BX60" s="44">
        <v>13652.722100000001</v>
      </c>
      <c r="BY60" s="44">
        <v>916383.15968649578</v>
      </c>
    </row>
    <row r="61" spans="1:77">
      <c r="A61">
        <v>2239</v>
      </c>
      <c r="B61" s="60">
        <v>103289</v>
      </c>
      <c r="C61" s="60">
        <v>3302239</v>
      </c>
      <c r="D61" s="61" t="s">
        <v>422</v>
      </c>
      <c r="E61" s="52">
        <v>167</v>
      </c>
      <c r="F61" s="52">
        <v>167</v>
      </c>
      <c r="G61" s="52">
        <v>0</v>
      </c>
      <c r="H61" s="44">
        <v>596941.93420000002</v>
      </c>
      <c r="I61" s="44">
        <v>0</v>
      </c>
      <c r="J61" s="44">
        <v>0</v>
      </c>
      <c r="K61" s="44">
        <v>35895.5527</v>
      </c>
      <c r="L61" s="44">
        <v>0</v>
      </c>
      <c r="M61" s="44">
        <v>60070.1086</v>
      </c>
      <c r="N61" s="44">
        <v>0</v>
      </c>
      <c r="O61" s="44">
        <v>471.6495999999994</v>
      </c>
      <c r="P61" s="44">
        <v>2288.0024000000012</v>
      </c>
      <c r="Q61" s="44">
        <v>8038.1142000000327</v>
      </c>
      <c r="R61" s="44">
        <v>1460.1068999999979</v>
      </c>
      <c r="S61" s="44">
        <v>23773.149599999986</v>
      </c>
      <c r="T61" s="44">
        <v>25248.311600000008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23264.903600000016</v>
      </c>
      <c r="AB61" s="44">
        <v>0</v>
      </c>
      <c r="AC61" s="44">
        <v>70657.952756756727</v>
      </c>
      <c r="AD61" s="44">
        <v>0</v>
      </c>
      <c r="AE61" s="44">
        <v>0</v>
      </c>
      <c r="AF61" s="44">
        <v>0</v>
      </c>
      <c r="AG61" s="44">
        <v>138243.54</v>
      </c>
      <c r="AH61" s="44">
        <v>0</v>
      </c>
      <c r="AI61" s="44">
        <v>0</v>
      </c>
      <c r="AJ61" s="44">
        <v>0</v>
      </c>
      <c r="AK61" s="44">
        <v>11105.6042</v>
      </c>
      <c r="AL61" s="44">
        <v>0</v>
      </c>
      <c r="AM61" s="44">
        <v>0</v>
      </c>
      <c r="AN61" s="44">
        <v>0</v>
      </c>
      <c r="AO61" s="44">
        <v>0</v>
      </c>
      <c r="AP61" s="44">
        <v>0</v>
      </c>
      <c r="AQ61" s="44">
        <v>0</v>
      </c>
      <c r="AR61" s="44">
        <v>0</v>
      </c>
      <c r="AS61" s="44">
        <v>0</v>
      </c>
      <c r="AT61" s="44">
        <v>596941.93420000002</v>
      </c>
      <c r="AU61" s="44">
        <v>251167.85195675679</v>
      </c>
      <c r="AV61" s="44">
        <v>149349.14420000001</v>
      </c>
      <c r="AW61" s="44">
        <v>179127.54726675674</v>
      </c>
      <c r="AX61" s="62">
        <v>997458.93035675678</v>
      </c>
      <c r="AY61" s="62">
        <v>986353.32615675684</v>
      </c>
      <c r="AZ61" s="62">
        <v>4610</v>
      </c>
      <c r="BA61" s="62">
        <v>769870</v>
      </c>
      <c r="BB61" s="62">
        <v>0</v>
      </c>
      <c r="BC61" s="62">
        <v>0</v>
      </c>
      <c r="BD61" s="62">
        <v>997458.93035675678</v>
      </c>
      <c r="BE61" s="44">
        <v>997458.93035675678</v>
      </c>
      <c r="BF61" s="44">
        <v>0</v>
      </c>
      <c r="BG61" s="62">
        <v>780975.60419999994</v>
      </c>
      <c r="BH61" s="62">
        <v>631626.46</v>
      </c>
      <c r="BI61" s="44">
        <v>848109.7861567568</v>
      </c>
      <c r="BJ61" s="44">
        <v>5078.501713513514</v>
      </c>
      <c r="BK61" s="44">
        <v>5126.7105637426894</v>
      </c>
      <c r="BL61" s="45">
        <v>-9.4034663415796804E-3</v>
      </c>
      <c r="BM61" s="45">
        <v>1.4403466341579681E-2</v>
      </c>
      <c r="BN61" s="44">
        <v>12331.681308997433</v>
      </c>
      <c r="BO61" s="62">
        <v>1009790.6116657542</v>
      </c>
      <c r="BP61" s="62">
        <v>5980.1497453039183</v>
      </c>
      <c r="BQ61" s="62" t="s">
        <v>92</v>
      </c>
      <c r="BR61" s="62">
        <v>6046.6503692560136</v>
      </c>
      <c r="BS61" s="53">
        <v>8.0765153289685809E-3</v>
      </c>
      <c r="BT61" s="44">
        <v>-4186.6899999999996</v>
      </c>
      <c r="BU61" s="44">
        <v>1005603.9216657543</v>
      </c>
      <c r="BV61" s="44">
        <v>0</v>
      </c>
      <c r="BW61" s="44">
        <v>1005603.9216657543</v>
      </c>
      <c r="BX61" s="44">
        <v>11105.6042</v>
      </c>
      <c r="BY61" s="44">
        <v>994498.31746575434</v>
      </c>
    </row>
    <row r="62" spans="1:77">
      <c r="A62">
        <v>2241</v>
      </c>
      <c r="B62" s="60">
        <v>103291</v>
      </c>
      <c r="C62" s="60">
        <v>3302241</v>
      </c>
      <c r="D62" s="61" t="s">
        <v>599</v>
      </c>
      <c r="E62" s="52">
        <v>245</v>
      </c>
      <c r="F62" s="52">
        <v>245</v>
      </c>
      <c r="G62" s="52">
        <v>0</v>
      </c>
      <c r="H62" s="44">
        <v>875753.13699999999</v>
      </c>
      <c r="I62" s="44">
        <v>0</v>
      </c>
      <c r="J62" s="44">
        <v>0</v>
      </c>
      <c r="K62" s="44">
        <v>66382.186499999967</v>
      </c>
      <c r="L62" s="44">
        <v>0</v>
      </c>
      <c r="M62" s="44">
        <v>115202.9479999999</v>
      </c>
      <c r="N62" s="44">
        <v>0</v>
      </c>
      <c r="O62" s="44">
        <v>235.82479999999973</v>
      </c>
      <c r="P62" s="44">
        <v>2574.0026999999986</v>
      </c>
      <c r="Q62" s="44">
        <v>9824.3617999999969</v>
      </c>
      <c r="R62" s="44">
        <v>4380.3206999999984</v>
      </c>
      <c r="S62" s="44">
        <v>44962.261200000059</v>
      </c>
      <c r="T62" s="44">
        <v>46402.30239999995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16577.985199999963</v>
      </c>
      <c r="AB62" s="44">
        <v>0</v>
      </c>
      <c r="AC62" s="44">
        <v>99667.939636631549</v>
      </c>
      <c r="AD62" s="44">
        <v>0</v>
      </c>
      <c r="AE62" s="44">
        <v>0</v>
      </c>
      <c r="AF62" s="44">
        <v>0</v>
      </c>
      <c r="AG62" s="44">
        <v>138243.54</v>
      </c>
      <c r="AH62" s="44">
        <v>0</v>
      </c>
      <c r="AI62" s="44">
        <v>0</v>
      </c>
      <c r="AJ62" s="44">
        <v>0</v>
      </c>
      <c r="AK62" s="44">
        <v>14721.388300000001</v>
      </c>
      <c r="AL62" s="44">
        <v>0</v>
      </c>
      <c r="AM62" s="44">
        <v>0</v>
      </c>
      <c r="AN62" s="44">
        <v>0</v>
      </c>
      <c r="AO62" s="44">
        <v>0</v>
      </c>
      <c r="AP62" s="44">
        <v>0</v>
      </c>
      <c r="AQ62" s="44">
        <v>0</v>
      </c>
      <c r="AR62" s="44">
        <v>0</v>
      </c>
      <c r="AS62" s="44">
        <v>0</v>
      </c>
      <c r="AT62" s="44">
        <v>875753.13699999999</v>
      </c>
      <c r="AU62" s="44">
        <v>406210.13293663133</v>
      </c>
      <c r="AV62" s="44">
        <v>152964.9283</v>
      </c>
      <c r="AW62" s="44">
        <v>288437.70053663151</v>
      </c>
      <c r="AX62" s="62">
        <v>1434928.1982366315</v>
      </c>
      <c r="AY62" s="62">
        <v>1420206.8099366315</v>
      </c>
      <c r="AZ62" s="62">
        <v>4610</v>
      </c>
      <c r="BA62" s="62">
        <v>1129450</v>
      </c>
      <c r="BB62" s="62">
        <v>0</v>
      </c>
      <c r="BC62" s="62">
        <v>0</v>
      </c>
      <c r="BD62" s="62">
        <v>1434928.1982366315</v>
      </c>
      <c r="BE62" s="44">
        <v>1434928.1982366317</v>
      </c>
      <c r="BF62" s="44">
        <v>0</v>
      </c>
      <c r="BG62" s="62">
        <v>1144171.3883</v>
      </c>
      <c r="BH62" s="62">
        <v>991206.46</v>
      </c>
      <c r="BI62" s="44">
        <v>1281963.2699366314</v>
      </c>
      <c r="BJ62" s="44">
        <v>5232.5031425984953</v>
      </c>
      <c r="BK62" s="44">
        <v>5131.7319891791049</v>
      </c>
      <c r="BL62" s="45">
        <v>1.9636869897313215E-2</v>
      </c>
      <c r="BM62" s="45">
        <v>0</v>
      </c>
      <c r="BN62" s="44">
        <v>0</v>
      </c>
      <c r="BO62" s="62">
        <v>1434928.1982366315</v>
      </c>
      <c r="BP62" s="62">
        <v>5796.762489537271</v>
      </c>
      <c r="BQ62" s="62" t="s">
        <v>92</v>
      </c>
      <c r="BR62" s="62">
        <v>5856.8497887209451</v>
      </c>
      <c r="BS62" s="53">
        <v>2.7355882447460234E-2</v>
      </c>
      <c r="BT62" s="44">
        <v>-6142.15</v>
      </c>
      <c r="BU62" s="44">
        <v>1428786.0482366316</v>
      </c>
      <c r="BV62" s="44">
        <v>0</v>
      </c>
      <c r="BW62" s="44">
        <v>1428786.0482366316</v>
      </c>
      <c r="BX62" s="44">
        <v>14721.388300000001</v>
      </c>
      <c r="BY62" s="44">
        <v>1414064.6599366316</v>
      </c>
    </row>
    <row r="63" spans="1:77">
      <c r="A63">
        <v>2245</v>
      </c>
      <c r="B63" s="60">
        <v>103295</v>
      </c>
      <c r="C63" s="60">
        <v>3302245</v>
      </c>
      <c r="D63" s="61" t="s">
        <v>563</v>
      </c>
      <c r="E63" s="52">
        <v>211</v>
      </c>
      <c r="F63" s="52">
        <v>211</v>
      </c>
      <c r="G63" s="52">
        <v>0</v>
      </c>
      <c r="H63" s="44">
        <v>754220.04859999998</v>
      </c>
      <c r="I63" s="44">
        <v>0</v>
      </c>
      <c r="J63" s="44">
        <v>0</v>
      </c>
      <c r="K63" s="44">
        <v>64415.30689999996</v>
      </c>
      <c r="L63" s="44">
        <v>0</v>
      </c>
      <c r="M63" s="44">
        <v>111911.43519999993</v>
      </c>
      <c r="N63" s="44">
        <v>0</v>
      </c>
      <c r="O63" s="44">
        <v>235.82480000000021</v>
      </c>
      <c r="P63" s="44">
        <v>1144.0012000000008</v>
      </c>
      <c r="Q63" s="44">
        <v>1786.2476000000015</v>
      </c>
      <c r="R63" s="44">
        <v>3406.9161000000031</v>
      </c>
      <c r="S63" s="44">
        <v>5684.8835999999956</v>
      </c>
      <c r="T63" s="44">
        <v>111911.43519999998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46343.872220967758</v>
      </c>
      <c r="AB63" s="44">
        <v>0</v>
      </c>
      <c r="AC63" s="44">
        <v>86811.47439788151</v>
      </c>
      <c r="AD63" s="44">
        <v>0</v>
      </c>
      <c r="AE63" s="44">
        <v>11887.980864000023</v>
      </c>
      <c r="AF63" s="44">
        <v>0</v>
      </c>
      <c r="AG63" s="44">
        <v>138243.54</v>
      </c>
      <c r="AH63" s="44">
        <v>0</v>
      </c>
      <c r="AI63" s="44">
        <v>0</v>
      </c>
      <c r="AJ63" s="44">
        <v>0</v>
      </c>
      <c r="AK63" s="44">
        <v>18595.434600000001</v>
      </c>
      <c r="AL63" s="44">
        <v>0</v>
      </c>
      <c r="AM63" s="44">
        <v>0</v>
      </c>
      <c r="AN63" s="44">
        <v>0</v>
      </c>
      <c r="AO63" s="44">
        <v>0</v>
      </c>
      <c r="AP63" s="44">
        <v>0</v>
      </c>
      <c r="AQ63" s="44">
        <v>0</v>
      </c>
      <c r="AR63" s="44">
        <v>0</v>
      </c>
      <c r="AS63" s="44">
        <v>0</v>
      </c>
      <c r="AT63" s="44">
        <v>754220.04859999998</v>
      </c>
      <c r="AU63" s="44">
        <v>445539.3780828492</v>
      </c>
      <c r="AV63" s="44">
        <v>156838.97460000002</v>
      </c>
      <c r="AW63" s="44">
        <v>274770.50212788139</v>
      </c>
      <c r="AX63" s="62">
        <v>1356598.4012828493</v>
      </c>
      <c r="AY63" s="62">
        <v>1338002.9666828492</v>
      </c>
      <c r="AZ63" s="62">
        <v>4610</v>
      </c>
      <c r="BA63" s="62">
        <v>972710</v>
      </c>
      <c r="BB63" s="62">
        <v>0</v>
      </c>
      <c r="BC63" s="62">
        <v>0</v>
      </c>
      <c r="BD63" s="62">
        <v>1356598.4012828493</v>
      </c>
      <c r="BE63" s="44">
        <v>1356598.401282849</v>
      </c>
      <c r="BF63" s="44">
        <v>0</v>
      </c>
      <c r="BG63" s="62">
        <v>991305.43460000004</v>
      </c>
      <c r="BH63" s="62">
        <v>834466.46</v>
      </c>
      <c r="BI63" s="44">
        <v>1199759.4266828492</v>
      </c>
      <c r="BJ63" s="44">
        <v>5686.0636335680056</v>
      </c>
      <c r="BK63" s="44">
        <v>6010.7600014285708</v>
      </c>
      <c r="BL63" s="45">
        <v>-5.4019186888745352E-2</v>
      </c>
      <c r="BM63" s="45">
        <v>5.9019186888745349E-2</v>
      </c>
      <c r="BN63" s="44">
        <v>74852.285420086395</v>
      </c>
      <c r="BO63" s="62">
        <v>1431450.6867029357</v>
      </c>
      <c r="BP63" s="62">
        <v>6695.9964554641501</v>
      </c>
      <c r="BQ63" s="62" t="s">
        <v>92</v>
      </c>
      <c r="BR63" s="62">
        <v>6784.1264772650984</v>
      </c>
      <c r="BS63" s="53">
        <v>4.3069119511272014E-3</v>
      </c>
      <c r="BT63" s="44">
        <v>-5289.77</v>
      </c>
      <c r="BU63" s="44">
        <v>1426160.9167029357</v>
      </c>
      <c r="BV63" s="44">
        <v>0</v>
      </c>
      <c r="BW63" s="44">
        <v>1426160.9167029357</v>
      </c>
      <c r="BX63" s="44">
        <v>18595.434600000001</v>
      </c>
      <c r="BY63" s="44">
        <v>1407565.4821029357</v>
      </c>
    </row>
    <row r="64" spans="1:77">
      <c r="A64">
        <v>2246</v>
      </c>
      <c r="B64" s="60">
        <v>103296</v>
      </c>
      <c r="C64" s="60">
        <v>3302246</v>
      </c>
      <c r="D64" s="61" t="s">
        <v>831</v>
      </c>
      <c r="E64" s="52">
        <v>542</v>
      </c>
      <c r="F64" s="52">
        <v>542</v>
      </c>
      <c r="G64" s="52">
        <v>0</v>
      </c>
      <c r="H64" s="44">
        <v>1937380.4091999999</v>
      </c>
      <c r="I64" s="44">
        <v>0</v>
      </c>
      <c r="J64" s="44">
        <v>0</v>
      </c>
      <c r="K64" s="44">
        <v>108178.3779999999</v>
      </c>
      <c r="L64" s="44">
        <v>0</v>
      </c>
      <c r="M64" s="44">
        <v>186793.35140000004</v>
      </c>
      <c r="N64" s="44">
        <v>0</v>
      </c>
      <c r="O64" s="44">
        <v>22403.35600000004</v>
      </c>
      <c r="P64" s="44">
        <v>2574.0026999999973</v>
      </c>
      <c r="Q64" s="44">
        <v>6698.4284999999927</v>
      </c>
      <c r="R64" s="44">
        <v>39909.588599999959</v>
      </c>
      <c r="S64" s="44">
        <v>71319.44879999994</v>
      </c>
      <c r="T64" s="44">
        <v>23883.538000000015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5870.166362195132</v>
      </c>
      <c r="AB64" s="44">
        <v>0</v>
      </c>
      <c r="AC64" s="44">
        <v>307622.26413339598</v>
      </c>
      <c r="AD64" s="44">
        <v>0</v>
      </c>
      <c r="AE64" s="44">
        <v>0</v>
      </c>
      <c r="AF64" s="44">
        <v>0</v>
      </c>
      <c r="AG64" s="44">
        <v>138243.54</v>
      </c>
      <c r="AH64" s="44">
        <v>0</v>
      </c>
      <c r="AI64" s="44">
        <v>0</v>
      </c>
      <c r="AJ64" s="44">
        <v>0</v>
      </c>
      <c r="AK64" s="44">
        <v>27029.836800000001</v>
      </c>
      <c r="AL64" s="44">
        <v>0</v>
      </c>
      <c r="AM64" s="44">
        <v>0</v>
      </c>
      <c r="AN64" s="44">
        <v>0</v>
      </c>
      <c r="AO64" s="44">
        <v>0</v>
      </c>
      <c r="AP64" s="44">
        <v>0</v>
      </c>
      <c r="AQ64" s="44">
        <v>0</v>
      </c>
      <c r="AR64" s="44">
        <v>0</v>
      </c>
      <c r="AS64" s="44">
        <v>0</v>
      </c>
      <c r="AT64" s="44">
        <v>1937380.4091999999</v>
      </c>
      <c r="AU64" s="44">
        <v>775252.52249559108</v>
      </c>
      <c r="AV64" s="44">
        <v>165273.3768</v>
      </c>
      <c r="AW64" s="44">
        <v>635371.33059339598</v>
      </c>
      <c r="AX64" s="62">
        <v>2877906.3084955909</v>
      </c>
      <c r="AY64" s="62">
        <v>2850876.4716955908</v>
      </c>
      <c r="AZ64" s="62">
        <v>4610</v>
      </c>
      <c r="BA64" s="62">
        <v>2498620</v>
      </c>
      <c r="BB64" s="62">
        <v>0</v>
      </c>
      <c r="BC64" s="62">
        <v>0</v>
      </c>
      <c r="BD64" s="62">
        <v>2877906.3084955909</v>
      </c>
      <c r="BE64" s="44">
        <v>2877906.3084955914</v>
      </c>
      <c r="BF64" s="44">
        <v>0</v>
      </c>
      <c r="BG64" s="62">
        <v>2525649.8368000002</v>
      </c>
      <c r="BH64" s="62">
        <v>2360376.46</v>
      </c>
      <c r="BI64" s="44">
        <v>2712632.9316955907</v>
      </c>
      <c r="BJ64" s="44">
        <v>5004.8578075564401</v>
      </c>
      <c r="BK64" s="44">
        <v>4841.0473274275982</v>
      </c>
      <c r="BL64" s="45">
        <v>3.383781835817877E-2</v>
      </c>
      <c r="BM64" s="45">
        <v>0</v>
      </c>
      <c r="BN64" s="44">
        <v>0</v>
      </c>
      <c r="BO64" s="62">
        <v>2877906.3084955909</v>
      </c>
      <c r="BP64" s="62">
        <v>5259.9196894752595</v>
      </c>
      <c r="BQ64" s="62" t="s">
        <v>92</v>
      </c>
      <c r="BR64" s="62">
        <v>5309.790237076736</v>
      </c>
      <c r="BS64" s="53">
        <v>3.6812817437608336E-2</v>
      </c>
      <c r="BT64" s="44">
        <v>-13587.94</v>
      </c>
      <c r="BU64" s="44">
        <v>2864318.368495591</v>
      </c>
      <c r="BV64" s="44">
        <v>0</v>
      </c>
      <c r="BW64" s="44">
        <v>2864318.368495591</v>
      </c>
      <c r="BX64" s="44">
        <v>27029.836800000001</v>
      </c>
      <c r="BY64" s="44">
        <v>2837288.5316955908</v>
      </c>
    </row>
    <row r="65" spans="1:77">
      <c r="A65">
        <v>2251</v>
      </c>
      <c r="B65" s="60">
        <v>103298</v>
      </c>
      <c r="C65" s="60">
        <v>3302251</v>
      </c>
      <c r="D65" s="61" t="s">
        <v>272</v>
      </c>
      <c r="E65" s="52">
        <v>420</v>
      </c>
      <c r="F65" s="52">
        <v>420</v>
      </c>
      <c r="G65" s="52">
        <v>0</v>
      </c>
      <c r="H65" s="44">
        <v>1501291.0919999999</v>
      </c>
      <c r="I65" s="44">
        <v>0</v>
      </c>
      <c r="J65" s="44">
        <v>0</v>
      </c>
      <c r="K65" s="44">
        <v>35403.832799999916</v>
      </c>
      <c r="L65" s="44">
        <v>0</v>
      </c>
      <c r="M65" s="44">
        <v>60892.986799999941</v>
      </c>
      <c r="N65" s="44">
        <v>0</v>
      </c>
      <c r="O65" s="44">
        <v>471.64959999999979</v>
      </c>
      <c r="P65" s="44">
        <v>1144.0011999999995</v>
      </c>
      <c r="Q65" s="44">
        <v>0</v>
      </c>
      <c r="R65" s="44">
        <v>486.70229999999975</v>
      </c>
      <c r="S65" s="44">
        <v>3100.8456000000028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29173.549374301692</v>
      </c>
      <c r="AB65" s="44">
        <v>0</v>
      </c>
      <c r="AC65" s="44">
        <v>137653.88896551728</v>
      </c>
      <c r="AD65" s="44">
        <v>0</v>
      </c>
      <c r="AE65" s="44">
        <v>0</v>
      </c>
      <c r="AF65" s="44">
        <v>0</v>
      </c>
      <c r="AG65" s="44">
        <v>138243.54</v>
      </c>
      <c r="AH65" s="44">
        <v>0</v>
      </c>
      <c r="AI65" s="44">
        <v>0</v>
      </c>
      <c r="AJ65" s="44">
        <v>0</v>
      </c>
      <c r="AK65" s="44">
        <v>17820.627400000001</v>
      </c>
      <c r="AL65" s="44">
        <v>0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>
        <v>0</v>
      </c>
      <c r="AS65" s="44">
        <v>0</v>
      </c>
      <c r="AT65" s="44">
        <v>1501291.0919999999</v>
      </c>
      <c r="AU65" s="44">
        <v>268327.45663981885</v>
      </c>
      <c r="AV65" s="44">
        <v>156064.16740000001</v>
      </c>
      <c r="AW65" s="44">
        <v>263468.45271551725</v>
      </c>
      <c r="AX65" s="62">
        <v>1925682.7160398187</v>
      </c>
      <c r="AY65" s="62">
        <v>1907862.0886398186</v>
      </c>
      <c r="AZ65" s="62">
        <v>4610</v>
      </c>
      <c r="BA65" s="62">
        <v>1936200</v>
      </c>
      <c r="BB65" s="62">
        <v>28337.911360181402</v>
      </c>
      <c r="BC65" s="62">
        <v>0</v>
      </c>
      <c r="BD65" s="62">
        <v>1954020.6274000001</v>
      </c>
      <c r="BE65" s="44">
        <v>1954020.6274000001</v>
      </c>
      <c r="BF65" s="44">
        <v>0</v>
      </c>
      <c r="BG65" s="62">
        <v>1954020.6274000001</v>
      </c>
      <c r="BH65" s="62">
        <v>1797956.46</v>
      </c>
      <c r="BI65" s="44">
        <v>1797956.46</v>
      </c>
      <c r="BJ65" s="44">
        <v>4280.8487142857139</v>
      </c>
      <c r="BK65" s="44">
        <v>4227.2560785714286</v>
      </c>
      <c r="BL65" s="45">
        <v>1.267787773396414E-2</v>
      </c>
      <c r="BM65" s="45">
        <v>0</v>
      </c>
      <c r="BN65" s="44">
        <v>0</v>
      </c>
      <c r="BO65" s="62">
        <v>1954020.6274000001</v>
      </c>
      <c r="BP65" s="62">
        <v>4610</v>
      </c>
      <c r="BQ65" s="62" t="s">
        <v>92</v>
      </c>
      <c r="BR65" s="62">
        <v>4652.4300652380953</v>
      </c>
      <c r="BS65" s="53">
        <v>1.1925448875071964E-2</v>
      </c>
      <c r="BT65" s="44">
        <v>-10529.4</v>
      </c>
      <c r="BU65" s="44">
        <v>1943491.2274000002</v>
      </c>
      <c r="BV65" s="44">
        <v>0</v>
      </c>
      <c r="BW65" s="44">
        <v>1943491.2274000002</v>
      </c>
      <c r="BX65" s="44">
        <v>17820.627400000001</v>
      </c>
      <c r="BY65" s="44">
        <v>1925670.6</v>
      </c>
    </row>
    <row r="66" spans="1:77">
      <c r="A66">
        <v>2254</v>
      </c>
      <c r="B66" s="60">
        <v>103300</v>
      </c>
      <c r="C66" s="60">
        <v>3302254</v>
      </c>
      <c r="D66" s="61" t="s">
        <v>605</v>
      </c>
      <c r="E66" s="52">
        <v>534</v>
      </c>
      <c r="F66" s="52">
        <v>534</v>
      </c>
      <c r="G66" s="52">
        <v>0</v>
      </c>
      <c r="H66" s="44">
        <v>1908784.3883999998</v>
      </c>
      <c r="I66" s="44">
        <v>0</v>
      </c>
      <c r="J66" s="44">
        <v>0</v>
      </c>
      <c r="K66" s="44">
        <v>123913.41480000012</v>
      </c>
      <c r="L66" s="44">
        <v>0</v>
      </c>
      <c r="M66" s="44">
        <v>210656.81919999982</v>
      </c>
      <c r="N66" s="44">
        <v>0</v>
      </c>
      <c r="O66" s="44">
        <v>27355.676800000045</v>
      </c>
      <c r="P66" s="44">
        <v>18876.019800000071</v>
      </c>
      <c r="Q66" s="44">
        <v>14736.542700000005</v>
      </c>
      <c r="R66" s="44">
        <v>102694.18529999997</v>
      </c>
      <c r="S66" s="44">
        <v>35659.72439999989</v>
      </c>
      <c r="T66" s="44">
        <v>16377.2832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103400.15566792463</v>
      </c>
      <c r="AB66" s="44">
        <v>0</v>
      </c>
      <c r="AC66" s="44">
        <v>288591.3899514064</v>
      </c>
      <c r="AD66" s="44">
        <v>0</v>
      </c>
      <c r="AE66" s="44">
        <v>24045.705216000071</v>
      </c>
      <c r="AF66" s="44">
        <v>0</v>
      </c>
      <c r="AG66" s="44">
        <v>138243.54</v>
      </c>
      <c r="AH66" s="44">
        <v>0</v>
      </c>
      <c r="AI66" s="44">
        <v>0</v>
      </c>
      <c r="AJ66" s="44">
        <v>0</v>
      </c>
      <c r="AK66" s="44">
        <v>72609.561600000001</v>
      </c>
      <c r="AL66" s="44">
        <v>0</v>
      </c>
      <c r="AM66" s="44">
        <v>0</v>
      </c>
      <c r="AN66" s="44">
        <v>0</v>
      </c>
      <c r="AO66" s="44">
        <v>0</v>
      </c>
      <c r="AP66" s="44">
        <v>0</v>
      </c>
      <c r="AQ66" s="44">
        <v>0</v>
      </c>
      <c r="AR66" s="44">
        <v>0</v>
      </c>
      <c r="AS66" s="44">
        <v>0</v>
      </c>
      <c r="AT66" s="44">
        <v>1908784.3883999998</v>
      </c>
      <c r="AU66" s="44">
        <v>966306.91703533102</v>
      </c>
      <c r="AV66" s="44">
        <v>210853.10159999999</v>
      </c>
      <c r="AW66" s="44">
        <v>659165.44247140631</v>
      </c>
      <c r="AX66" s="62">
        <v>3085944.4070353308</v>
      </c>
      <c r="AY66" s="62">
        <v>3013334.8454353306</v>
      </c>
      <c r="AZ66" s="62">
        <v>4610</v>
      </c>
      <c r="BA66" s="62">
        <v>2461740</v>
      </c>
      <c r="BB66" s="62">
        <v>0</v>
      </c>
      <c r="BC66" s="62">
        <v>0</v>
      </c>
      <c r="BD66" s="62">
        <v>3085944.4070353308</v>
      </c>
      <c r="BE66" s="44">
        <v>3085944.4070353308</v>
      </c>
      <c r="BF66" s="44">
        <v>0</v>
      </c>
      <c r="BG66" s="62">
        <v>2534349.5616000001</v>
      </c>
      <c r="BH66" s="62">
        <v>2323496.46</v>
      </c>
      <c r="BI66" s="44">
        <v>2875091.3054353306</v>
      </c>
      <c r="BJ66" s="44">
        <v>5384.0661150474352</v>
      </c>
      <c r="BK66" s="44">
        <v>5167.1377531418311</v>
      </c>
      <c r="BL66" s="45">
        <v>4.1982306698462375E-2</v>
      </c>
      <c r="BM66" s="45">
        <v>0</v>
      </c>
      <c r="BN66" s="44">
        <v>0</v>
      </c>
      <c r="BO66" s="62">
        <v>3085944.4070353308</v>
      </c>
      <c r="BP66" s="62">
        <v>5642.9491487553005</v>
      </c>
      <c r="BQ66" s="62" t="s">
        <v>92</v>
      </c>
      <c r="BR66" s="62">
        <v>5778.9221105530542</v>
      </c>
      <c r="BS66" s="53">
        <v>4.2770562838789772E-2</v>
      </c>
      <c r="BT66" s="44">
        <v>-13387.380000000001</v>
      </c>
      <c r="BU66" s="44">
        <v>3072557.0270353309</v>
      </c>
      <c r="BV66" s="44">
        <v>0</v>
      </c>
      <c r="BW66" s="44">
        <v>3072557.0270353309</v>
      </c>
      <c r="BX66" s="44">
        <v>72609.561600000001</v>
      </c>
      <c r="BY66" s="44">
        <v>2999947.4654353308</v>
      </c>
    </row>
    <row r="67" spans="1:77">
      <c r="A67">
        <v>2278</v>
      </c>
      <c r="B67" s="60">
        <v>103310</v>
      </c>
      <c r="C67" s="60">
        <v>3302278</v>
      </c>
      <c r="D67" s="61" t="s">
        <v>572</v>
      </c>
      <c r="E67" s="52">
        <v>404</v>
      </c>
      <c r="F67" s="52">
        <v>404</v>
      </c>
      <c r="G67" s="52">
        <v>0</v>
      </c>
      <c r="H67" s="44">
        <v>1444099.0503999998</v>
      </c>
      <c r="I67" s="44">
        <v>0</v>
      </c>
      <c r="J67" s="44">
        <v>0</v>
      </c>
      <c r="K67" s="44">
        <v>116045.89639999997</v>
      </c>
      <c r="L67" s="44">
        <v>0</v>
      </c>
      <c r="M67" s="44">
        <v>198313.64620000013</v>
      </c>
      <c r="N67" s="44">
        <v>0</v>
      </c>
      <c r="O67" s="44">
        <v>7782.2184000000016</v>
      </c>
      <c r="P67" s="44">
        <v>1430.0015000000028</v>
      </c>
      <c r="Q67" s="44">
        <v>3572.4951999999994</v>
      </c>
      <c r="R67" s="44">
        <v>32122.351799999931</v>
      </c>
      <c r="S67" s="44">
        <v>81655.600799999986</v>
      </c>
      <c r="T67" s="44">
        <v>49131.849599999929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34170.949085714317</v>
      </c>
      <c r="AB67" s="44">
        <v>0</v>
      </c>
      <c r="AC67" s="44">
        <v>179588.34508896101</v>
      </c>
      <c r="AD67" s="44">
        <v>0</v>
      </c>
      <c r="AE67" s="44">
        <v>9483.7641357022203</v>
      </c>
      <c r="AF67" s="44">
        <v>0</v>
      </c>
      <c r="AG67" s="44">
        <v>138243.54</v>
      </c>
      <c r="AH67" s="44">
        <v>0</v>
      </c>
      <c r="AI67" s="44">
        <v>0</v>
      </c>
      <c r="AJ67" s="44">
        <v>0</v>
      </c>
      <c r="AK67" s="44">
        <v>24535.640299999999</v>
      </c>
      <c r="AL67" s="44">
        <v>0</v>
      </c>
      <c r="AM67" s="44">
        <v>0</v>
      </c>
      <c r="AN67" s="44">
        <v>0</v>
      </c>
      <c r="AO67" s="44">
        <v>0</v>
      </c>
      <c r="AP67" s="44">
        <v>0</v>
      </c>
      <c r="AQ67" s="44">
        <v>0</v>
      </c>
      <c r="AR67" s="44">
        <v>0</v>
      </c>
      <c r="AS67" s="44">
        <v>0</v>
      </c>
      <c r="AT67" s="44">
        <v>1444099.0503999998</v>
      </c>
      <c r="AU67" s="44">
        <v>713297.11821037752</v>
      </c>
      <c r="AV67" s="44">
        <v>162779.18030000001</v>
      </c>
      <c r="AW67" s="44">
        <v>496820.327558961</v>
      </c>
      <c r="AX67" s="62">
        <v>2320175.3489103774</v>
      </c>
      <c r="AY67" s="62">
        <v>2295639.7086103773</v>
      </c>
      <c r="AZ67" s="62">
        <v>4610</v>
      </c>
      <c r="BA67" s="62">
        <v>1862440</v>
      </c>
      <c r="BB67" s="62">
        <v>0</v>
      </c>
      <c r="BC67" s="62">
        <v>0</v>
      </c>
      <c r="BD67" s="62">
        <v>2320175.3489103774</v>
      </c>
      <c r="BE67" s="44">
        <v>2320175.3489103769</v>
      </c>
      <c r="BF67" s="44">
        <v>0</v>
      </c>
      <c r="BG67" s="62">
        <v>1886975.6403000001</v>
      </c>
      <c r="BH67" s="62">
        <v>1724196.46</v>
      </c>
      <c r="BI67" s="44">
        <v>2157396.1686103772</v>
      </c>
      <c r="BJ67" s="44">
        <v>5340.0895262633103</v>
      </c>
      <c r="BK67" s="44">
        <v>5134.7716554430381</v>
      </c>
      <c r="BL67" s="45">
        <v>3.9985784100570097E-2</v>
      </c>
      <c r="BM67" s="45">
        <v>0</v>
      </c>
      <c r="BN67" s="44">
        <v>0</v>
      </c>
      <c r="BO67" s="62">
        <v>2320175.3489103774</v>
      </c>
      <c r="BP67" s="62">
        <v>5682.2765064613295</v>
      </c>
      <c r="BQ67" s="62" t="s">
        <v>92</v>
      </c>
      <c r="BR67" s="62">
        <v>5743.0082893821218</v>
      </c>
      <c r="BS67" s="53">
        <v>3.5697823800530548E-2</v>
      </c>
      <c r="BT67" s="44">
        <v>-10128.280000000001</v>
      </c>
      <c r="BU67" s="44">
        <v>2310047.0689103776</v>
      </c>
      <c r="BV67" s="44">
        <v>0</v>
      </c>
      <c r="BW67" s="44">
        <v>2310047.0689103776</v>
      </c>
      <c r="BX67" s="44">
        <v>24535.640299999999</v>
      </c>
      <c r="BY67" s="44">
        <v>2285511.4286103775</v>
      </c>
    </row>
    <row r="68" spans="1:77">
      <c r="A68">
        <v>2284</v>
      </c>
      <c r="B68" s="60">
        <v>103313</v>
      </c>
      <c r="C68" s="60">
        <v>3302284</v>
      </c>
      <c r="D68" s="61" t="s">
        <v>629</v>
      </c>
      <c r="E68" s="52">
        <v>203</v>
      </c>
      <c r="F68" s="52">
        <v>203</v>
      </c>
      <c r="G68" s="52">
        <v>0</v>
      </c>
      <c r="H68" s="44">
        <v>725624.02779999992</v>
      </c>
      <c r="I68" s="44">
        <v>0</v>
      </c>
      <c r="J68" s="44">
        <v>0</v>
      </c>
      <c r="K68" s="44">
        <v>55564.348700000031</v>
      </c>
      <c r="L68" s="44">
        <v>0</v>
      </c>
      <c r="M68" s="44">
        <v>95453.871199999921</v>
      </c>
      <c r="N68" s="44">
        <v>0</v>
      </c>
      <c r="O68" s="44">
        <v>2829.8975999999984</v>
      </c>
      <c r="P68" s="44">
        <v>36608.038399999983</v>
      </c>
      <c r="Q68" s="44">
        <v>893.12379999999962</v>
      </c>
      <c r="R68" s="44">
        <v>5840.4275999999963</v>
      </c>
      <c r="S68" s="44">
        <v>18088.265999999971</v>
      </c>
      <c r="T68" s="44">
        <v>3411.9340000000025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50359.103086592164</v>
      </c>
      <c r="AB68" s="44">
        <v>0</v>
      </c>
      <c r="AC68" s="44">
        <v>92932.770479347862</v>
      </c>
      <c r="AD68" s="44">
        <v>0</v>
      </c>
      <c r="AE68" s="44">
        <v>8496.9198720000095</v>
      </c>
      <c r="AF68" s="44">
        <v>0</v>
      </c>
      <c r="AG68" s="44">
        <v>138243.54</v>
      </c>
      <c r="AH68" s="44">
        <v>0</v>
      </c>
      <c r="AI68" s="44">
        <v>0</v>
      </c>
      <c r="AJ68" s="44">
        <v>0</v>
      </c>
      <c r="AK68" s="44">
        <v>12655.2289</v>
      </c>
      <c r="AL68" s="44">
        <v>0</v>
      </c>
      <c r="AM68" s="44">
        <v>0</v>
      </c>
      <c r="AN68" s="44">
        <v>0</v>
      </c>
      <c r="AO68" s="44">
        <v>0</v>
      </c>
      <c r="AP68" s="44">
        <v>0</v>
      </c>
      <c r="AQ68" s="44">
        <v>0</v>
      </c>
      <c r="AR68" s="44">
        <v>0</v>
      </c>
      <c r="AS68" s="44">
        <v>0</v>
      </c>
      <c r="AT68" s="44">
        <v>725624.02779999992</v>
      </c>
      <c r="AU68" s="44">
        <v>370478.70073793997</v>
      </c>
      <c r="AV68" s="44">
        <v>150898.7689</v>
      </c>
      <c r="AW68" s="44">
        <v>238558.92551934777</v>
      </c>
      <c r="AX68" s="62">
        <v>1247001.49743794</v>
      </c>
      <c r="AY68" s="62">
        <v>1234346.26853794</v>
      </c>
      <c r="AZ68" s="62">
        <v>4610</v>
      </c>
      <c r="BA68" s="62">
        <v>935830</v>
      </c>
      <c r="BB68" s="62">
        <v>0</v>
      </c>
      <c r="BC68" s="62">
        <v>0</v>
      </c>
      <c r="BD68" s="62">
        <v>1247001.49743794</v>
      </c>
      <c r="BE68" s="44">
        <v>1247001.49743794</v>
      </c>
      <c r="BF68" s="44">
        <v>0</v>
      </c>
      <c r="BG68" s="62">
        <v>948485.22889999999</v>
      </c>
      <c r="BH68" s="62">
        <v>797586.46</v>
      </c>
      <c r="BI68" s="44">
        <v>1096102.72853794</v>
      </c>
      <c r="BJ68" s="44">
        <v>5399.5208302361571</v>
      </c>
      <c r="BK68" s="44">
        <v>5182.0947210526319</v>
      </c>
      <c r="BL68" s="45">
        <v>4.1957185440902101E-2</v>
      </c>
      <c r="BM68" s="45">
        <v>0</v>
      </c>
      <c r="BN68" s="44">
        <v>0</v>
      </c>
      <c r="BO68" s="62">
        <v>1247001.49743794</v>
      </c>
      <c r="BP68" s="62">
        <v>6080.52349033468</v>
      </c>
      <c r="BQ68" s="62" t="s">
        <v>92</v>
      </c>
      <c r="BR68" s="62">
        <v>6142.8645193987195</v>
      </c>
      <c r="BS68" s="53">
        <v>4.0751627943333979E-2</v>
      </c>
      <c r="BT68" s="44">
        <v>-5089.21</v>
      </c>
      <c r="BU68" s="44">
        <v>1241912.28743794</v>
      </c>
      <c r="BV68" s="44">
        <v>0</v>
      </c>
      <c r="BW68" s="44">
        <v>1241912.28743794</v>
      </c>
      <c r="BX68" s="44">
        <v>12655.2289</v>
      </c>
      <c r="BY68" s="44">
        <v>1229257.05853794</v>
      </c>
    </row>
    <row r="69" spans="1:77">
      <c r="A69">
        <v>2289</v>
      </c>
      <c r="B69" s="60">
        <v>103315</v>
      </c>
      <c r="C69" s="60">
        <v>3302289</v>
      </c>
      <c r="D69" s="61" t="s">
        <v>620</v>
      </c>
      <c r="E69" s="52">
        <v>411</v>
      </c>
      <c r="F69" s="52">
        <v>411</v>
      </c>
      <c r="G69" s="52">
        <v>0</v>
      </c>
      <c r="H69" s="44">
        <v>1469120.5685999999</v>
      </c>
      <c r="I69" s="44">
        <v>0</v>
      </c>
      <c r="J69" s="44">
        <v>0</v>
      </c>
      <c r="K69" s="44">
        <v>59989.827800000043</v>
      </c>
      <c r="L69" s="44">
        <v>0</v>
      </c>
      <c r="M69" s="44">
        <v>106151.28779999995</v>
      </c>
      <c r="N69" s="44">
        <v>0</v>
      </c>
      <c r="O69" s="44">
        <v>2600.3998068292658</v>
      </c>
      <c r="P69" s="44">
        <v>3153.6764787804841</v>
      </c>
      <c r="Q69" s="44">
        <v>17906.043014634146</v>
      </c>
      <c r="R69" s="44">
        <v>47813.159120487719</v>
      </c>
      <c r="S69" s="44">
        <v>39373.176081951307</v>
      </c>
      <c r="T69" s="44">
        <v>3420.2557902438989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5530.4804522727209</v>
      </c>
      <c r="AB69" s="44">
        <v>0</v>
      </c>
      <c r="AC69" s="44">
        <v>181923.83749186614</v>
      </c>
      <c r="AD69" s="44">
        <v>0</v>
      </c>
      <c r="AE69" s="44">
        <v>0</v>
      </c>
      <c r="AF69" s="44">
        <v>0</v>
      </c>
      <c r="AG69" s="44">
        <v>138243.54</v>
      </c>
      <c r="AH69" s="44">
        <v>0</v>
      </c>
      <c r="AI69" s="44">
        <v>0</v>
      </c>
      <c r="AJ69" s="44">
        <v>0</v>
      </c>
      <c r="AK69" s="44">
        <v>18982.838199999998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>
        <v>0</v>
      </c>
      <c r="AS69" s="44">
        <v>0</v>
      </c>
      <c r="AT69" s="44">
        <v>1469120.5685999999</v>
      </c>
      <c r="AU69" s="44">
        <v>467862.14383706573</v>
      </c>
      <c r="AV69" s="44">
        <v>157226.37820000001</v>
      </c>
      <c r="AW69" s="44">
        <v>395583.77886832954</v>
      </c>
      <c r="AX69" s="62">
        <v>2094209.0906370655</v>
      </c>
      <c r="AY69" s="62">
        <v>2075226.2524370654</v>
      </c>
      <c r="AZ69" s="62">
        <v>4610</v>
      </c>
      <c r="BA69" s="62">
        <v>1894710</v>
      </c>
      <c r="BB69" s="62">
        <v>0</v>
      </c>
      <c r="BC69" s="62">
        <v>0</v>
      </c>
      <c r="BD69" s="62">
        <v>2094209.0906370655</v>
      </c>
      <c r="BE69" s="44">
        <v>2094209.0906370657</v>
      </c>
      <c r="BF69" s="44">
        <v>0</v>
      </c>
      <c r="BG69" s="62">
        <v>1913692.8382000001</v>
      </c>
      <c r="BH69" s="62">
        <v>1756466.46</v>
      </c>
      <c r="BI69" s="44">
        <v>1936982.7124370653</v>
      </c>
      <c r="BJ69" s="44">
        <v>4712.8533149320328</v>
      </c>
      <c r="BK69" s="44">
        <v>4638.4232237037031</v>
      </c>
      <c r="BL69" s="45">
        <v>1.6046420871638045E-2</v>
      </c>
      <c r="BM69" s="45">
        <v>0</v>
      </c>
      <c r="BN69" s="44">
        <v>0</v>
      </c>
      <c r="BO69" s="62">
        <v>2094209.0906370655</v>
      </c>
      <c r="BP69" s="62">
        <v>5049.2122930342221</v>
      </c>
      <c r="BQ69" s="62" t="s">
        <v>92</v>
      </c>
      <c r="BR69" s="62">
        <v>5095.39924729213</v>
      </c>
      <c r="BS69" s="53">
        <v>1.395505243854922E-2</v>
      </c>
      <c r="BT69" s="44">
        <v>-10303.77</v>
      </c>
      <c r="BU69" s="44">
        <v>2083905.3206370655</v>
      </c>
      <c r="BV69" s="44">
        <v>0</v>
      </c>
      <c r="BW69" s="44">
        <v>2083905.3206370655</v>
      </c>
      <c r="BX69" s="44">
        <v>18982.838199999998</v>
      </c>
      <c r="BY69" s="44">
        <v>2064922.4824370653</v>
      </c>
    </row>
    <row r="70" spans="1:77">
      <c r="A70">
        <v>2293</v>
      </c>
      <c r="B70" s="60">
        <v>103317</v>
      </c>
      <c r="C70" s="60">
        <v>3302293</v>
      </c>
      <c r="D70" s="61" t="s">
        <v>402</v>
      </c>
      <c r="E70" s="52">
        <v>575</v>
      </c>
      <c r="F70" s="52">
        <v>575</v>
      </c>
      <c r="G70" s="52">
        <v>0</v>
      </c>
      <c r="H70" s="44">
        <v>2055338.9949999999</v>
      </c>
      <c r="I70" s="44">
        <v>0</v>
      </c>
      <c r="J70" s="44">
        <v>0</v>
      </c>
      <c r="K70" s="44">
        <v>112603.85709999989</v>
      </c>
      <c r="L70" s="44">
        <v>0</v>
      </c>
      <c r="M70" s="44">
        <v>194199.25520000016</v>
      </c>
      <c r="N70" s="44">
        <v>0</v>
      </c>
      <c r="O70" s="44">
        <v>4244.8464000000058</v>
      </c>
      <c r="P70" s="44">
        <v>18876.019799999969</v>
      </c>
      <c r="Q70" s="44">
        <v>109407.66549999996</v>
      </c>
      <c r="R70" s="44">
        <v>64731.405900000012</v>
      </c>
      <c r="S70" s="44">
        <v>44962.261200000015</v>
      </c>
      <c r="T70" s="44">
        <v>2729.5472000000022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128815.42554054043</v>
      </c>
      <c r="AB70" s="44">
        <v>0</v>
      </c>
      <c r="AC70" s="44">
        <v>213809.89505710747</v>
      </c>
      <c r="AD70" s="44">
        <v>0</v>
      </c>
      <c r="AE70" s="44">
        <v>7225.2720000000199</v>
      </c>
      <c r="AF70" s="44">
        <v>0</v>
      </c>
      <c r="AG70" s="44">
        <v>138243.54</v>
      </c>
      <c r="AH70" s="44">
        <v>0</v>
      </c>
      <c r="AI70" s="44">
        <v>0</v>
      </c>
      <c r="AJ70" s="44">
        <v>0</v>
      </c>
      <c r="AK70" s="44">
        <v>41074.752</v>
      </c>
      <c r="AL70" s="44">
        <v>0</v>
      </c>
      <c r="AM70" s="44">
        <v>0</v>
      </c>
      <c r="AN70" s="44">
        <v>0</v>
      </c>
      <c r="AO70" s="44">
        <v>0</v>
      </c>
      <c r="AP70" s="44">
        <v>0</v>
      </c>
      <c r="AQ70" s="44">
        <v>0</v>
      </c>
      <c r="AR70" s="44">
        <v>0</v>
      </c>
      <c r="AS70" s="44">
        <v>0</v>
      </c>
      <c r="AT70" s="44">
        <v>2055338.9949999999</v>
      </c>
      <c r="AU70" s="44">
        <v>901605.45089764777</v>
      </c>
      <c r="AV70" s="44">
        <v>179318.29200000002</v>
      </c>
      <c r="AW70" s="44">
        <v>592454.27395710757</v>
      </c>
      <c r="AX70" s="62">
        <v>3136262.7378976475</v>
      </c>
      <c r="AY70" s="62">
        <v>3095187.9858976477</v>
      </c>
      <c r="AZ70" s="62">
        <v>4610</v>
      </c>
      <c r="BA70" s="62">
        <v>2650750</v>
      </c>
      <c r="BB70" s="62">
        <v>0</v>
      </c>
      <c r="BC70" s="62">
        <v>0</v>
      </c>
      <c r="BD70" s="62">
        <v>3136262.7378976475</v>
      </c>
      <c r="BE70" s="44">
        <v>3136262.7378976475</v>
      </c>
      <c r="BF70" s="44">
        <v>0</v>
      </c>
      <c r="BG70" s="62">
        <v>2691824.7519999999</v>
      </c>
      <c r="BH70" s="62">
        <v>2512506.46</v>
      </c>
      <c r="BI70" s="44">
        <v>2956944.4458976476</v>
      </c>
      <c r="BJ70" s="44">
        <v>5142.5120798219959</v>
      </c>
      <c r="BK70" s="44">
        <v>5111.995048109965</v>
      </c>
      <c r="BL70" s="45">
        <v>5.9696911723953862E-3</v>
      </c>
      <c r="BM70" s="45">
        <v>0</v>
      </c>
      <c r="BN70" s="44">
        <v>0</v>
      </c>
      <c r="BO70" s="62">
        <v>3136262.7378976475</v>
      </c>
      <c r="BP70" s="62">
        <v>5382.935627648083</v>
      </c>
      <c r="BQ70" s="62" t="s">
        <v>92</v>
      </c>
      <c r="BR70" s="62">
        <v>5454.3699789524308</v>
      </c>
      <c r="BS70" s="53">
        <v>6.7041668249050446E-3</v>
      </c>
      <c r="BT70" s="44">
        <v>-14415.25</v>
      </c>
      <c r="BU70" s="44">
        <v>3121847.4878976475</v>
      </c>
      <c r="BV70" s="44">
        <v>0</v>
      </c>
      <c r="BW70" s="44">
        <v>3121847.4878976475</v>
      </c>
      <c r="BX70" s="44">
        <v>41074.752</v>
      </c>
      <c r="BY70" s="44">
        <v>3080772.7358976477</v>
      </c>
    </row>
    <row r="71" spans="1:77">
      <c r="A71">
        <v>2294</v>
      </c>
      <c r="B71" s="60">
        <v>103318</v>
      </c>
      <c r="C71" s="60">
        <v>3302294</v>
      </c>
      <c r="D71" s="61" t="s">
        <v>635</v>
      </c>
      <c r="E71" s="52">
        <v>420</v>
      </c>
      <c r="F71" s="52">
        <v>420</v>
      </c>
      <c r="G71" s="52">
        <v>0</v>
      </c>
      <c r="H71" s="44">
        <v>1501291.0919999999</v>
      </c>
      <c r="I71" s="44">
        <v>0</v>
      </c>
      <c r="J71" s="44">
        <v>0</v>
      </c>
      <c r="K71" s="44">
        <v>93918.500900000043</v>
      </c>
      <c r="L71" s="44">
        <v>0</v>
      </c>
      <c r="M71" s="44">
        <v>157169.73620000007</v>
      </c>
      <c r="N71" s="44">
        <v>0</v>
      </c>
      <c r="O71" s="44">
        <v>31128.873599999974</v>
      </c>
      <c r="P71" s="44">
        <v>21736.022800000006</v>
      </c>
      <c r="Q71" s="44">
        <v>4465.6189999999979</v>
      </c>
      <c r="R71" s="44">
        <v>58890.978299999981</v>
      </c>
      <c r="S71" s="44">
        <v>16537.843199999999</v>
      </c>
      <c r="T71" s="44">
        <v>19106.830400000006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62858.193883333392</v>
      </c>
      <c r="AB71" s="44">
        <v>0</v>
      </c>
      <c r="AC71" s="44">
        <v>185646.15872470735</v>
      </c>
      <c r="AD71" s="44">
        <v>0</v>
      </c>
      <c r="AE71" s="44">
        <v>8477.6524800000188</v>
      </c>
      <c r="AF71" s="44">
        <v>0</v>
      </c>
      <c r="AG71" s="44">
        <v>138243.54</v>
      </c>
      <c r="AH71" s="44">
        <v>0</v>
      </c>
      <c r="AI71" s="44">
        <v>0</v>
      </c>
      <c r="AJ71" s="44">
        <v>0</v>
      </c>
      <c r="AK71" s="44">
        <v>28089.830399999999</v>
      </c>
      <c r="AL71" s="44">
        <v>0</v>
      </c>
      <c r="AM71" s="44">
        <v>0</v>
      </c>
      <c r="AN71" s="44">
        <v>0</v>
      </c>
      <c r="AO71" s="44">
        <v>0</v>
      </c>
      <c r="AP71" s="44">
        <v>0</v>
      </c>
      <c r="AQ71" s="44">
        <v>0</v>
      </c>
      <c r="AR71" s="44">
        <v>0</v>
      </c>
      <c r="AS71" s="44">
        <v>0</v>
      </c>
      <c r="AT71" s="44">
        <v>1501291.0919999999</v>
      </c>
      <c r="AU71" s="44">
        <v>659936.40948804095</v>
      </c>
      <c r="AV71" s="44">
        <v>166333.37040000001</v>
      </c>
      <c r="AW71" s="44">
        <v>462187.91552470729</v>
      </c>
      <c r="AX71" s="62">
        <v>2327560.871888041</v>
      </c>
      <c r="AY71" s="62">
        <v>2299471.0414880412</v>
      </c>
      <c r="AZ71" s="62">
        <v>4610</v>
      </c>
      <c r="BA71" s="62">
        <v>1936200</v>
      </c>
      <c r="BB71" s="62">
        <v>0</v>
      </c>
      <c r="BC71" s="62">
        <v>0</v>
      </c>
      <c r="BD71" s="62">
        <v>2327560.871888041</v>
      </c>
      <c r="BE71" s="44">
        <v>2327560.871888041</v>
      </c>
      <c r="BF71" s="44">
        <v>0</v>
      </c>
      <c r="BG71" s="62">
        <v>1964289.8304000001</v>
      </c>
      <c r="BH71" s="62">
        <v>1797956.46</v>
      </c>
      <c r="BI71" s="44">
        <v>2161227.5014880411</v>
      </c>
      <c r="BJ71" s="44">
        <v>5145.7797654477172</v>
      </c>
      <c r="BK71" s="44">
        <v>5006.0571130120479</v>
      </c>
      <c r="BL71" s="45">
        <v>2.7910718811516085E-2</v>
      </c>
      <c r="BM71" s="45">
        <v>0</v>
      </c>
      <c r="BN71" s="44">
        <v>0</v>
      </c>
      <c r="BO71" s="62">
        <v>2327560.871888041</v>
      </c>
      <c r="BP71" s="62">
        <v>5474.9310511620024</v>
      </c>
      <c r="BQ71" s="62" t="s">
        <v>92</v>
      </c>
      <c r="BR71" s="62">
        <v>5541.8115997334307</v>
      </c>
      <c r="BS71" s="53">
        <v>2.5333107136773281E-2</v>
      </c>
      <c r="BT71" s="44">
        <v>-10529.4</v>
      </c>
      <c r="BU71" s="44">
        <v>2317031.4718880411</v>
      </c>
      <c r="BV71" s="44">
        <v>0</v>
      </c>
      <c r="BW71" s="44">
        <v>2317031.4718880411</v>
      </c>
      <c r="BX71" s="44">
        <v>28089.830399999999</v>
      </c>
      <c r="BY71" s="44">
        <v>2288941.6414880413</v>
      </c>
    </row>
    <row r="72" spans="1:77">
      <c r="A72">
        <v>2296</v>
      </c>
      <c r="B72" s="60">
        <v>103320</v>
      </c>
      <c r="C72" s="60">
        <v>3302296</v>
      </c>
      <c r="D72" s="61" t="s">
        <v>297</v>
      </c>
      <c r="E72" s="52">
        <v>283</v>
      </c>
      <c r="F72" s="52">
        <v>283</v>
      </c>
      <c r="G72" s="52">
        <v>0</v>
      </c>
      <c r="H72" s="44">
        <v>1011584.2357999999</v>
      </c>
      <c r="I72" s="44">
        <v>0</v>
      </c>
      <c r="J72" s="44">
        <v>0</v>
      </c>
      <c r="K72" s="44">
        <v>56056.068600000013</v>
      </c>
      <c r="L72" s="44">
        <v>0</v>
      </c>
      <c r="M72" s="44">
        <v>95453.87119999995</v>
      </c>
      <c r="N72" s="44">
        <v>0</v>
      </c>
      <c r="O72" s="44">
        <v>11555.415199999978</v>
      </c>
      <c r="P72" s="44">
        <v>13728.014400000024</v>
      </c>
      <c r="Q72" s="44">
        <v>8038.1142</v>
      </c>
      <c r="R72" s="44">
        <v>1946.8092000000056</v>
      </c>
      <c r="S72" s="44">
        <v>12403.382400000008</v>
      </c>
      <c r="T72" s="44">
        <v>2729.5472000000077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24407.773204330766</v>
      </c>
      <c r="AB72" s="44">
        <v>0</v>
      </c>
      <c r="AC72" s="44">
        <v>94257.097723259489</v>
      </c>
      <c r="AD72" s="44">
        <v>0</v>
      </c>
      <c r="AE72" s="44">
        <v>12543.072191999949</v>
      </c>
      <c r="AF72" s="44">
        <v>0</v>
      </c>
      <c r="AG72" s="44">
        <v>138243.54</v>
      </c>
      <c r="AH72" s="44">
        <v>0</v>
      </c>
      <c r="AI72" s="44">
        <v>0</v>
      </c>
      <c r="AJ72" s="44">
        <v>0</v>
      </c>
      <c r="AK72" s="44">
        <v>31269.8112</v>
      </c>
      <c r="AL72" s="44">
        <v>0</v>
      </c>
      <c r="AM72" s="44">
        <v>0</v>
      </c>
      <c r="AN72" s="44">
        <v>0</v>
      </c>
      <c r="AO72" s="44">
        <v>0</v>
      </c>
      <c r="AP72" s="44">
        <v>0</v>
      </c>
      <c r="AQ72" s="44">
        <v>0</v>
      </c>
      <c r="AR72" s="44">
        <v>0</v>
      </c>
      <c r="AS72" s="44">
        <v>0</v>
      </c>
      <c r="AT72" s="44">
        <v>1011584.2357999999</v>
      </c>
      <c r="AU72" s="44">
        <v>333119.1655195902</v>
      </c>
      <c r="AV72" s="44">
        <v>169513.3512</v>
      </c>
      <c r="AW72" s="44">
        <v>245791.92071325949</v>
      </c>
      <c r="AX72" s="62">
        <v>1514216.7525195901</v>
      </c>
      <c r="AY72" s="62">
        <v>1482946.94131959</v>
      </c>
      <c r="AZ72" s="62">
        <v>4610</v>
      </c>
      <c r="BA72" s="62">
        <v>1304630</v>
      </c>
      <c r="BB72" s="62">
        <v>0</v>
      </c>
      <c r="BC72" s="62">
        <v>0</v>
      </c>
      <c r="BD72" s="62">
        <v>1514216.7525195901</v>
      </c>
      <c r="BE72" s="44">
        <v>1514216.7525195901</v>
      </c>
      <c r="BF72" s="44">
        <v>0</v>
      </c>
      <c r="BG72" s="62">
        <v>1335899.8112000001</v>
      </c>
      <c r="BH72" s="62">
        <v>1166386.46</v>
      </c>
      <c r="BI72" s="44">
        <v>1344703.4013195899</v>
      </c>
      <c r="BJ72" s="44">
        <v>4751.6021248042043</v>
      </c>
      <c r="BK72" s="44">
        <v>4614.325790784982</v>
      </c>
      <c r="BL72" s="45">
        <v>2.9750030718110405E-2</v>
      </c>
      <c r="BM72" s="45">
        <v>0</v>
      </c>
      <c r="BN72" s="44">
        <v>0</v>
      </c>
      <c r="BO72" s="62">
        <v>1514216.7525195901</v>
      </c>
      <c r="BP72" s="62">
        <v>5240.0951990091517</v>
      </c>
      <c r="BQ72" s="62" t="s">
        <v>92</v>
      </c>
      <c r="BR72" s="62">
        <v>5350.5892315179863</v>
      </c>
      <c r="BS72" s="53">
        <v>3.0989482439468752E-2</v>
      </c>
      <c r="BT72" s="44">
        <v>-7094.81</v>
      </c>
      <c r="BU72" s="44">
        <v>1507121.94251959</v>
      </c>
      <c r="BV72" s="44">
        <v>0</v>
      </c>
      <c r="BW72" s="44">
        <v>1507121.94251959</v>
      </c>
      <c r="BX72" s="44">
        <v>31269.8112</v>
      </c>
      <c r="BY72" s="44">
        <v>1475852.1313195899</v>
      </c>
    </row>
    <row r="73" spans="1:77">
      <c r="A73">
        <v>2300</v>
      </c>
      <c r="B73" s="60">
        <v>103324</v>
      </c>
      <c r="C73" s="60">
        <v>3302300</v>
      </c>
      <c r="D73" s="61" t="s">
        <v>236</v>
      </c>
      <c r="E73" s="52">
        <v>635</v>
      </c>
      <c r="F73" s="52">
        <v>635</v>
      </c>
      <c r="G73" s="52">
        <v>0</v>
      </c>
      <c r="H73" s="44">
        <v>2269809.1510000001</v>
      </c>
      <c r="I73" s="44">
        <v>0</v>
      </c>
      <c r="J73" s="44">
        <v>0</v>
      </c>
      <c r="K73" s="44">
        <v>142107.05109999987</v>
      </c>
      <c r="L73" s="44">
        <v>0</v>
      </c>
      <c r="M73" s="44">
        <v>246863.46000000008</v>
      </c>
      <c r="N73" s="44">
        <v>0</v>
      </c>
      <c r="O73" s="44">
        <v>2358.248000000001</v>
      </c>
      <c r="P73" s="44">
        <v>14872.015600000008</v>
      </c>
      <c r="Q73" s="44">
        <v>57606.485100000114</v>
      </c>
      <c r="R73" s="44">
        <v>152337.81990000012</v>
      </c>
      <c r="S73" s="44">
        <v>45995.876400000125</v>
      </c>
      <c r="T73" s="44">
        <v>20471.60400000001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102096.92326972481</v>
      </c>
      <c r="AB73" s="44">
        <v>0</v>
      </c>
      <c r="AC73" s="44">
        <v>216676.91133838979</v>
      </c>
      <c r="AD73" s="44">
        <v>0</v>
      </c>
      <c r="AE73" s="44">
        <v>0</v>
      </c>
      <c r="AF73" s="44">
        <v>0</v>
      </c>
      <c r="AG73" s="44">
        <v>138243.54</v>
      </c>
      <c r="AH73" s="44">
        <v>0</v>
      </c>
      <c r="AI73" s="44">
        <v>0</v>
      </c>
      <c r="AJ73" s="44">
        <v>0</v>
      </c>
      <c r="AK73" s="44">
        <v>75856.234899999996</v>
      </c>
      <c r="AL73" s="44">
        <v>0</v>
      </c>
      <c r="AM73" s="44">
        <v>0</v>
      </c>
      <c r="AN73" s="44">
        <v>0</v>
      </c>
      <c r="AO73" s="44">
        <v>0</v>
      </c>
      <c r="AP73" s="44">
        <v>0</v>
      </c>
      <c r="AQ73" s="44">
        <v>0</v>
      </c>
      <c r="AR73" s="44">
        <v>0</v>
      </c>
      <c r="AS73" s="44">
        <v>0</v>
      </c>
      <c r="AT73" s="44">
        <v>2269809.1510000001</v>
      </c>
      <c r="AU73" s="44">
        <v>1001386.3947081149</v>
      </c>
      <c r="AV73" s="44">
        <v>214099.77490000002</v>
      </c>
      <c r="AW73" s="44">
        <v>671473.64893838996</v>
      </c>
      <c r="AX73" s="62">
        <v>3485295.3206081153</v>
      </c>
      <c r="AY73" s="62">
        <v>3409439.0857081152</v>
      </c>
      <c r="AZ73" s="62">
        <v>4610</v>
      </c>
      <c r="BA73" s="62">
        <v>2927350</v>
      </c>
      <c r="BB73" s="62">
        <v>0</v>
      </c>
      <c r="BC73" s="62">
        <v>0</v>
      </c>
      <c r="BD73" s="62">
        <v>3485295.3206081153</v>
      </c>
      <c r="BE73" s="44">
        <v>3485295.3206081148</v>
      </c>
      <c r="BF73" s="44">
        <v>0</v>
      </c>
      <c r="BG73" s="62">
        <v>3003206.2349</v>
      </c>
      <c r="BH73" s="62">
        <v>2789106.46</v>
      </c>
      <c r="BI73" s="44">
        <v>3271195.5457081152</v>
      </c>
      <c r="BJ73" s="44">
        <v>5151.4890483592362</v>
      </c>
      <c r="BK73" s="44">
        <v>5030.3894283911668</v>
      </c>
      <c r="BL73" s="45">
        <v>2.4073607360215816E-2</v>
      </c>
      <c r="BM73" s="45">
        <v>0</v>
      </c>
      <c r="BN73" s="44">
        <v>0</v>
      </c>
      <c r="BO73" s="62">
        <v>3485295.3206081153</v>
      </c>
      <c r="BP73" s="62">
        <v>5369.1954105639606</v>
      </c>
      <c r="BQ73" s="62" t="s">
        <v>92</v>
      </c>
      <c r="BR73" s="62">
        <v>5488.6540482017563</v>
      </c>
      <c r="BS73" s="53">
        <v>2.3124305279600188E-2</v>
      </c>
      <c r="BT73" s="44">
        <v>-15919.45</v>
      </c>
      <c r="BU73" s="44">
        <v>3469375.8706081151</v>
      </c>
      <c r="BV73" s="44">
        <v>0</v>
      </c>
      <c r="BW73" s="44">
        <v>3469375.8706081151</v>
      </c>
      <c r="BX73" s="44">
        <v>75856.234899999996</v>
      </c>
      <c r="BY73" s="44">
        <v>3393519.6357081151</v>
      </c>
    </row>
    <row r="74" spans="1:77">
      <c r="A74">
        <v>2306</v>
      </c>
      <c r="B74" s="60">
        <v>103326</v>
      </c>
      <c r="C74" s="60">
        <v>3302306</v>
      </c>
      <c r="D74" s="61" t="s">
        <v>557</v>
      </c>
      <c r="E74" s="52">
        <v>207</v>
      </c>
      <c r="F74" s="52">
        <v>207</v>
      </c>
      <c r="G74" s="52">
        <v>0</v>
      </c>
      <c r="H74" s="44">
        <v>739922.03819999995</v>
      </c>
      <c r="I74" s="44">
        <v>0</v>
      </c>
      <c r="J74" s="44">
        <v>0</v>
      </c>
      <c r="K74" s="44">
        <v>37862.432299999957</v>
      </c>
      <c r="L74" s="44">
        <v>0</v>
      </c>
      <c r="M74" s="44">
        <v>63361.621399999931</v>
      </c>
      <c r="N74" s="44">
        <v>0</v>
      </c>
      <c r="O74" s="44">
        <v>12262.889599999999</v>
      </c>
      <c r="P74" s="44">
        <v>11154.011699999983</v>
      </c>
      <c r="Q74" s="44">
        <v>3125.9332999999961</v>
      </c>
      <c r="R74" s="44">
        <v>9247.3437000000031</v>
      </c>
      <c r="S74" s="44">
        <v>17054.650799999952</v>
      </c>
      <c r="T74" s="44">
        <v>4094.3207999999986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v>52624.064399999967</v>
      </c>
      <c r="AB74" s="44">
        <v>0</v>
      </c>
      <c r="AC74" s="44">
        <v>72062.547788028198</v>
      </c>
      <c r="AD74" s="44">
        <v>0</v>
      </c>
      <c r="AE74" s="44">
        <v>22716.255168000025</v>
      </c>
      <c r="AF74" s="44">
        <v>0</v>
      </c>
      <c r="AG74" s="44">
        <v>138243.54</v>
      </c>
      <c r="AH74" s="44">
        <v>0</v>
      </c>
      <c r="AI74" s="44">
        <v>0</v>
      </c>
      <c r="AJ74" s="44">
        <v>0</v>
      </c>
      <c r="AK74" s="44">
        <v>19886.786800000002</v>
      </c>
      <c r="AL74" s="44">
        <v>0</v>
      </c>
      <c r="AM74" s="44">
        <v>0</v>
      </c>
      <c r="AN74" s="44">
        <v>0</v>
      </c>
      <c r="AO74" s="44">
        <v>0</v>
      </c>
      <c r="AP74" s="44">
        <v>0</v>
      </c>
      <c r="AQ74" s="44">
        <v>0</v>
      </c>
      <c r="AR74" s="44">
        <v>0</v>
      </c>
      <c r="AS74" s="44">
        <v>0</v>
      </c>
      <c r="AT74" s="44">
        <v>739922.03819999995</v>
      </c>
      <c r="AU74" s="44">
        <v>305566.07095602795</v>
      </c>
      <c r="AV74" s="44">
        <v>158130.32680000001</v>
      </c>
      <c r="AW74" s="44">
        <v>188140.25149802808</v>
      </c>
      <c r="AX74" s="62">
        <v>1203618.4359560278</v>
      </c>
      <c r="AY74" s="62">
        <v>1183731.6491560279</v>
      </c>
      <c r="AZ74" s="62">
        <v>4610</v>
      </c>
      <c r="BA74" s="62">
        <v>954270</v>
      </c>
      <c r="BB74" s="62">
        <v>0</v>
      </c>
      <c r="BC74" s="62">
        <v>0</v>
      </c>
      <c r="BD74" s="62">
        <v>1203618.4359560278</v>
      </c>
      <c r="BE74" s="44">
        <v>1203618.4359560278</v>
      </c>
      <c r="BF74" s="44">
        <v>0</v>
      </c>
      <c r="BG74" s="62">
        <v>974156.7868</v>
      </c>
      <c r="BH74" s="62">
        <v>816026.46</v>
      </c>
      <c r="BI74" s="44">
        <v>1045488.1091560278</v>
      </c>
      <c r="BJ74" s="44">
        <v>5050.6671939904727</v>
      </c>
      <c r="BK74" s="44">
        <v>5021.1283617346935</v>
      </c>
      <c r="BL74" s="45">
        <v>5.8829072128269901E-3</v>
      </c>
      <c r="BM74" s="45">
        <v>0</v>
      </c>
      <c r="BN74" s="44">
        <v>0</v>
      </c>
      <c r="BO74" s="62">
        <v>1203618.4359560278</v>
      </c>
      <c r="BP74" s="62">
        <v>5718.51038239627</v>
      </c>
      <c r="BQ74" s="62" t="s">
        <v>92</v>
      </c>
      <c r="BR74" s="62">
        <v>5814.5818162126952</v>
      </c>
      <c r="BS74" s="53">
        <v>-1.7817611588886173E-3</v>
      </c>
      <c r="BT74" s="44">
        <v>-5189.49</v>
      </c>
      <c r="BU74" s="44">
        <v>1198428.9459560278</v>
      </c>
      <c r="BV74" s="44">
        <v>0</v>
      </c>
      <c r="BW74" s="44">
        <v>1198428.9459560278</v>
      </c>
      <c r="BX74" s="44">
        <v>19886.786800000002</v>
      </c>
      <c r="BY74" s="44">
        <v>1178542.1591560277</v>
      </c>
    </row>
    <row r="75" spans="1:77">
      <c r="A75">
        <v>2308</v>
      </c>
      <c r="B75" s="60">
        <v>103328</v>
      </c>
      <c r="C75" s="60">
        <v>3302308</v>
      </c>
      <c r="D75" s="61" t="s">
        <v>393</v>
      </c>
      <c r="E75" s="52">
        <v>400</v>
      </c>
      <c r="F75" s="52">
        <v>400</v>
      </c>
      <c r="G75" s="52">
        <v>0</v>
      </c>
      <c r="H75" s="44">
        <v>1429801.04</v>
      </c>
      <c r="I75" s="44">
        <v>0</v>
      </c>
      <c r="J75" s="44">
        <v>0</v>
      </c>
      <c r="K75" s="44">
        <v>114079.01679999998</v>
      </c>
      <c r="L75" s="44">
        <v>0</v>
      </c>
      <c r="M75" s="44">
        <v>192553.4988</v>
      </c>
      <c r="N75" s="44">
        <v>0</v>
      </c>
      <c r="O75" s="44">
        <v>2607.1083417085456</v>
      </c>
      <c r="P75" s="44">
        <v>3736.6873366834207</v>
      </c>
      <c r="Q75" s="44">
        <v>28274.773567839169</v>
      </c>
      <c r="R75" s="44">
        <v>87557.499195979908</v>
      </c>
      <c r="S75" s="44">
        <v>57134.508542713629</v>
      </c>
      <c r="T75" s="44">
        <v>7543.9746733668417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100068.32112676067</v>
      </c>
      <c r="AB75" s="44">
        <v>0</v>
      </c>
      <c r="AC75" s="44">
        <v>190832.11201219511</v>
      </c>
      <c r="AD75" s="44">
        <v>0</v>
      </c>
      <c r="AE75" s="44">
        <v>9633.6960000000036</v>
      </c>
      <c r="AF75" s="44">
        <v>0</v>
      </c>
      <c r="AG75" s="44">
        <v>138243.54</v>
      </c>
      <c r="AH75" s="44">
        <v>0</v>
      </c>
      <c r="AI75" s="44">
        <v>0</v>
      </c>
      <c r="AJ75" s="44">
        <v>0</v>
      </c>
      <c r="AK75" s="44">
        <v>36039.782399999996</v>
      </c>
      <c r="AL75" s="44">
        <v>0</v>
      </c>
      <c r="AM75" s="44">
        <v>0</v>
      </c>
      <c r="AN75" s="44">
        <v>0</v>
      </c>
      <c r="AO75" s="44">
        <v>0</v>
      </c>
      <c r="AP75" s="44">
        <v>0</v>
      </c>
      <c r="AQ75" s="44">
        <v>0</v>
      </c>
      <c r="AR75" s="44">
        <v>0</v>
      </c>
      <c r="AS75" s="44">
        <v>0</v>
      </c>
      <c r="AT75" s="44">
        <v>1429801.04</v>
      </c>
      <c r="AU75" s="44">
        <v>794021.19639724726</v>
      </c>
      <c r="AV75" s="44">
        <v>174283.3224</v>
      </c>
      <c r="AW75" s="44">
        <v>509065.6976413409</v>
      </c>
      <c r="AX75" s="62">
        <v>2398105.5587972472</v>
      </c>
      <c r="AY75" s="62">
        <v>2362065.7763972473</v>
      </c>
      <c r="AZ75" s="62">
        <v>4610</v>
      </c>
      <c r="BA75" s="62">
        <v>1844000</v>
      </c>
      <c r="BB75" s="62">
        <v>0</v>
      </c>
      <c r="BC75" s="62">
        <v>0</v>
      </c>
      <c r="BD75" s="62">
        <v>2398105.5587972472</v>
      </c>
      <c r="BE75" s="44">
        <v>2398105.5587972472</v>
      </c>
      <c r="BF75" s="44">
        <v>0</v>
      </c>
      <c r="BG75" s="62">
        <v>1880039.7823999999</v>
      </c>
      <c r="BH75" s="62">
        <v>1705756.46</v>
      </c>
      <c r="BI75" s="44">
        <v>2223822.2363972473</v>
      </c>
      <c r="BJ75" s="44">
        <v>5559.5555909931181</v>
      </c>
      <c r="BK75" s="44">
        <v>5441.406553414633</v>
      </c>
      <c r="BL75" s="45">
        <v>2.1712959033421856E-2</v>
      </c>
      <c r="BM75" s="45">
        <v>0</v>
      </c>
      <c r="BN75" s="44">
        <v>0</v>
      </c>
      <c r="BO75" s="62">
        <v>2398105.5587972472</v>
      </c>
      <c r="BP75" s="62">
        <v>5905.1644409931187</v>
      </c>
      <c r="BQ75" s="62" t="s">
        <v>92</v>
      </c>
      <c r="BR75" s="62">
        <v>5995.2638969931177</v>
      </c>
      <c r="BS75" s="53">
        <v>2.2397329681449474E-2</v>
      </c>
      <c r="BT75" s="44">
        <v>-10028</v>
      </c>
      <c r="BU75" s="44">
        <v>2388077.5587972472</v>
      </c>
      <c r="BV75" s="44">
        <v>0</v>
      </c>
      <c r="BW75" s="44">
        <v>2388077.5587972472</v>
      </c>
      <c r="BX75" s="44">
        <v>36039.782399999996</v>
      </c>
      <c r="BY75" s="44">
        <v>2352037.7763972473</v>
      </c>
    </row>
    <row r="76" spans="1:77">
      <c r="A76">
        <v>2312</v>
      </c>
      <c r="B76" s="60">
        <v>103332</v>
      </c>
      <c r="C76" s="60">
        <v>3302312</v>
      </c>
      <c r="D76" s="61" t="s">
        <v>266</v>
      </c>
      <c r="E76" s="52">
        <v>421</v>
      </c>
      <c r="F76" s="52">
        <v>421</v>
      </c>
      <c r="G76" s="52">
        <v>0</v>
      </c>
      <c r="H76" s="44">
        <v>1504865.5946</v>
      </c>
      <c r="I76" s="44">
        <v>0</v>
      </c>
      <c r="J76" s="44">
        <v>0</v>
      </c>
      <c r="K76" s="44">
        <v>33436.953200000004</v>
      </c>
      <c r="L76" s="44">
        <v>0</v>
      </c>
      <c r="M76" s="44">
        <v>60070.108599999985</v>
      </c>
      <c r="N76" s="44">
        <v>0</v>
      </c>
      <c r="O76" s="44">
        <v>7310.5687999999964</v>
      </c>
      <c r="P76" s="44">
        <v>2002.0020999999999</v>
      </c>
      <c r="Q76" s="44">
        <v>4019.0570999999941</v>
      </c>
      <c r="R76" s="44">
        <v>1946.8092000000004</v>
      </c>
      <c r="S76" s="44">
        <v>7235.3063999999995</v>
      </c>
      <c r="T76" s="44">
        <v>6823.8679999999877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54547.606822991722</v>
      </c>
      <c r="AB76" s="44">
        <v>0</v>
      </c>
      <c r="AC76" s="44">
        <v>121356.48050544612</v>
      </c>
      <c r="AD76" s="44">
        <v>0</v>
      </c>
      <c r="AE76" s="44">
        <v>0</v>
      </c>
      <c r="AF76" s="44">
        <v>0</v>
      </c>
      <c r="AG76" s="44">
        <v>138243.54</v>
      </c>
      <c r="AH76" s="44">
        <v>0</v>
      </c>
      <c r="AI76" s="44">
        <v>0</v>
      </c>
      <c r="AJ76" s="44">
        <v>0</v>
      </c>
      <c r="AK76" s="44">
        <v>30209.817599999998</v>
      </c>
      <c r="AL76" s="44">
        <v>0</v>
      </c>
      <c r="AM76" s="44">
        <v>0</v>
      </c>
      <c r="AN76" s="44">
        <v>0</v>
      </c>
      <c r="AO76" s="44">
        <v>0</v>
      </c>
      <c r="AP76" s="44">
        <v>0</v>
      </c>
      <c r="AQ76" s="44">
        <v>0</v>
      </c>
      <c r="AR76" s="44">
        <v>0</v>
      </c>
      <c r="AS76" s="44">
        <v>0</v>
      </c>
      <c r="AT76" s="44">
        <v>1504865.5946</v>
      </c>
      <c r="AU76" s="44">
        <v>298748.7607284378</v>
      </c>
      <c r="AV76" s="44">
        <v>168453.35760000002</v>
      </c>
      <c r="AW76" s="44">
        <v>258022.09693544611</v>
      </c>
      <c r="AX76" s="62">
        <v>1972067.7129284379</v>
      </c>
      <c r="AY76" s="62">
        <v>1941857.8953284379</v>
      </c>
      <c r="AZ76" s="62">
        <v>4610</v>
      </c>
      <c r="BA76" s="62">
        <v>1940810</v>
      </c>
      <c r="BB76" s="62">
        <v>0</v>
      </c>
      <c r="BC76" s="62">
        <v>0</v>
      </c>
      <c r="BD76" s="62">
        <v>1972067.7129284379</v>
      </c>
      <c r="BE76" s="44">
        <v>1972067.7129284379</v>
      </c>
      <c r="BF76" s="44">
        <v>0</v>
      </c>
      <c r="BG76" s="62">
        <v>1971019.8176</v>
      </c>
      <c r="BH76" s="62">
        <v>1802566.46</v>
      </c>
      <c r="BI76" s="44">
        <v>1803614.3553284379</v>
      </c>
      <c r="BJ76" s="44">
        <v>4284.1196088561474</v>
      </c>
      <c r="BK76" s="44">
        <v>4403.9071166666672</v>
      </c>
      <c r="BL76" s="45">
        <v>-2.7200280259586273E-2</v>
      </c>
      <c r="BM76" s="45">
        <v>3.2200280259586274E-2</v>
      </c>
      <c r="BN76" s="44">
        <v>59700.765268812189</v>
      </c>
      <c r="BO76" s="62">
        <v>2031768.47819725</v>
      </c>
      <c r="BP76" s="62">
        <v>4754.2961059317104</v>
      </c>
      <c r="BQ76" s="62" t="s">
        <v>92</v>
      </c>
      <c r="BR76" s="62">
        <v>4826.0533923925177</v>
      </c>
      <c r="BS76" s="53">
        <v>4.8224797366882566E-3</v>
      </c>
      <c r="BT76" s="44">
        <v>-10554.47</v>
      </c>
      <c r="BU76" s="44">
        <v>2021214.0081972501</v>
      </c>
      <c r="BV76" s="44">
        <v>0</v>
      </c>
      <c r="BW76" s="44">
        <v>2021214.0081972501</v>
      </c>
      <c r="BX76" s="44">
        <v>30209.817599999998</v>
      </c>
      <c r="BY76" s="44">
        <v>1991004.1905972501</v>
      </c>
    </row>
    <row r="77" spans="1:77">
      <c r="A77">
        <v>2314</v>
      </c>
      <c r="B77" s="60">
        <v>103334</v>
      </c>
      <c r="C77" s="60">
        <v>3302314</v>
      </c>
      <c r="D77" s="61" t="s">
        <v>849</v>
      </c>
      <c r="E77" s="52">
        <v>214</v>
      </c>
      <c r="F77" s="52">
        <v>214</v>
      </c>
      <c r="G77" s="52">
        <v>0</v>
      </c>
      <c r="H77" s="44">
        <v>764943.5564</v>
      </c>
      <c r="I77" s="44">
        <v>0</v>
      </c>
      <c r="J77" s="44">
        <v>0</v>
      </c>
      <c r="K77" s="44">
        <v>20652.235800000039</v>
      </c>
      <c r="L77" s="44">
        <v>0</v>
      </c>
      <c r="M77" s="44">
        <v>35383.762599999944</v>
      </c>
      <c r="N77" s="44">
        <v>0</v>
      </c>
      <c r="O77" s="44">
        <v>707.47439999999767</v>
      </c>
      <c r="P77" s="44">
        <v>29744.031200000001</v>
      </c>
      <c r="Q77" s="44">
        <v>893.12379999999962</v>
      </c>
      <c r="R77" s="44">
        <v>2433.5114999999987</v>
      </c>
      <c r="S77" s="44">
        <v>3100.845600000001</v>
      </c>
      <c r="T77" s="44">
        <v>0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8263.2503869565189</v>
      </c>
      <c r="AB77" s="44">
        <v>0</v>
      </c>
      <c r="AC77" s="44">
        <v>56795.078031284844</v>
      </c>
      <c r="AD77" s="44">
        <v>0</v>
      </c>
      <c r="AE77" s="44">
        <v>154.13913600000612</v>
      </c>
      <c r="AF77" s="44">
        <v>0</v>
      </c>
      <c r="AG77" s="44">
        <v>138243.54</v>
      </c>
      <c r="AH77" s="44">
        <v>0</v>
      </c>
      <c r="AI77" s="44">
        <v>0</v>
      </c>
      <c r="AJ77" s="44">
        <v>0</v>
      </c>
      <c r="AK77" s="44">
        <v>18595.434600000001</v>
      </c>
      <c r="AL77" s="44">
        <v>0</v>
      </c>
      <c r="AM77" s="44">
        <v>0</v>
      </c>
      <c r="AN77" s="44">
        <v>0</v>
      </c>
      <c r="AO77" s="44">
        <v>0</v>
      </c>
      <c r="AP77" s="44">
        <v>0</v>
      </c>
      <c r="AQ77" s="44">
        <v>0</v>
      </c>
      <c r="AR77" s="44">
        <v>0</v>
      </c>
      <c r="AS77" s="44">
        <v>0</v>
      </c>
      <c r="AT77" s="44">
        <v>764943.5564</v>
      </c>
      <c r="AU77" s="44">
        <v>158127.45245424137</v>
      </c>
      <c r="AV77" s="44">
        <v>156838.97460000002</v>
      </c>
      <c r="AW77" s="44">
        <v>141499.74830128485</v>
      </c>
      <c r="AX77" s="62">
        <v>1079909.9834542414</v>
      </c>
      <c r="AY77" s="62">
        <v>1061314.5488542414</v>
      </c>
      <c r="AZ77" s="62">
        <v>4610</v>
      </c>
      <c r="BA77" s="62">
        <v>986540</v>
      </c>
      <c r="BB77" s="62">
        <v>0</v>
      </c>
      <c r="BC77" s="62">
        <v>0</v>
      </c>
      <c r="BD77" s="62">
        <v>1079909.9834542414</v>
      </c>
      <c r="BE77" s="44">
        <v>1079909.9834542412</v>
      </c>
      <c r="BF77" s="44">
        <v>0</v>
      </c>
      <c r="BG77" s="62">
        <v>1005135.4346</v>
      </c>
      <c r="BH77" s="62">
        <v>848296.46</v>
      </c>
      <c r="BI77" s="44">
        <v>923071.00885424134</v>
      </c>
      <c r="BJ77" s="44">
        <v>4313.4159292254271</v>
      </c>
      <c r="BK77" s="44">
        <v>4337.5762739336487</v>
      </c>
      <c r="BL77" s="45">
        <v>-5.5700103427371288E-3</v>
      </c>
      <c r="BM77" s="45">
        <v>1.0570010342737128E-2</v>
      </c>
      <c r="BN77" s="44">
        <v>9811.5203806684258</v>
      </c>
      <c r="BO77" s="62">
        <v>1089721.5038349098</v>
      </c>
      <c r="BP77" s="62">
        <v>5005.2620057706063</v>
      </c>
      <c r="BQ77" s="62" t="s">
        <v>92</v>
      </c>
      <c r="BR77" s="62">
        <v>5092.1565599762134</v>
      </c>
      <c r="BS77" s="53">
        <v>2.724227392373324E-3</v>
      </c>
      <c r="BT77" s="44">
        <v>-5364.9800000000005</v>
      </c>
      <c r="BU77" s="44">
        <v>1084356.5238349098</v>
      </c>
      <c r="BV77" s="44">
        <v>0</v>
      </c>
      <c r="BW77" s="44">
        <v>1084356.5238349098</v>
      </c>
      <c r="BX77" s="44">
        <v>18595.434600000001</v>
      </c>
      <c r="BY77" s="44">
        <v>1065761.0892349097</v>
      </c>
    </row>
    <row r="78" spans="1:77">
      <c r="A78">
        <v>2317</v>
      </c>
      <c r="B78" s="60">
        <v>103337</v>
      </c>
      <c r="C78" s="60">
        <v>3302317</v>
      </c>
      <c r="D78" s="61" t="s">
        <v>575</v>
      </c>
      <c r="E78" s="52">
        <v>255</v>
      </c>
      <c r="F78" s="52">
        <v>255</v>
      </c>
      <c r="G78" s="52">
        <v>0</v>
      </c>
      <c r="H78" s="44">
        <v>911498.16299999994</v>
      </c>
      <c r="I78" s="44">
        <v>0</v>
      </c>
      <c r="J78" s="44">
        <v>0</v>
      </c>
      <c r="K78" s="44">
        <v>44254.790999999961</v>
      </c>
      <c r="L78" s="44">
        <v>0</v>
      </c>
      <c r="M78" s="44">
        <v>74059.037999999942</v>
      </c>
      <c r="N78" s="44">
        <v>0</v>
      </c>
      <c r="O78" s="44">
        <v>0</v>
      </c>
      <c r="P78" s="44">
        <v>0</v>
      </c>
      <c r="Q78" s="44">
        <v>39744.009099999974</v>
      </c>
      <c r="R78" s="44">
        <v>18007.985099999965</v>
      </c>
      <c r="S78" s="44">
        <v>23256.341999999982</v>
      </c>
      <c r="T78" s="44">
        <v>33436.953199999989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49091.031984662608</v>
      </c>
      <c r="AB78" s="44">
        <v>0</v>
      </c>
      <c r="AC78" s="44">
        <v>101023.59796012274</v>
      </c>
      <c r="AD78" s="44">
        <v>0</v>
      </c>
      <c r="AE78" s="44">
        <v>0</v>
      </c>
      <c r="AF78" s="44">
        <v>0</v>
      </c>
      <c r="AG78" s="44">
        <v>138243.54</v>
      </c>
      <c r="AH78" s="44">
        <v>0</v>
      </c>
      <c r="AI78" s="44">
        <v>0</v>
      </c>
      <c r="AJ78" s="44">
        <v>0</v>
      </c>
      <c r="AK78" s="44">
        <v>15383.153</v>
      </c>
      <c r="AL78" s="44">
        <v>0</v>
      </c>
      <c r="AM78" s="44">
        <v>0</v>
      </c>
      <c r="AN78" s="44">
        <v>0</v>
      </c>
      <c r="AO78" s="44">
        <v>0</v>
      </c>
      <c r="AP78" s="44">
        <v>0</v>
      </c>
      <c r="AQ78" s="44">
        <v>0</v>
      </c>
      <c r="AR78" s="44">
        <v>0</v>
      </c>
      <c r="AS78" s="44">
        <v>0</v>
      </c>
      <c r="AT78" s="44">
        <v>911498.16299999994</v>
      </c>
      <c r="AU78" s="44">
        <v>382873.74834478518</v>
      </c>
      <c r="AV78" s="44">
        <v>153626.693</v>
      </c>
      <c r="AW78" s="44">
        <v>262978.06531012268</v>
      </c>
      <c r="AX78" s="62">
        <v>1447998.6043447852</v>
      </c>
      <c r="AY78" s="62">
        <v>1432615.4513447853</v>
      </c>
      <c r="AZ78" s="62">
        <v>4610</v>
      </c>
      <c r="BA78" s="62">
        <v>1175550</v>
      </c>
      <c r="BB78" s="62">
        <v>0</v>
      </c>
      <c r="BC78" s="62">
        <v>0</v>
      </c>
      <c r="BD78" s="62">
        <v>1447998.6043447852</v>
      </c>
      <c r="BE78" s="44">
        <v>1447998.6043447852</v>
      </c>
      <c r="BF78" s="44">
        <v>0</v>
      </c>
      <c r="BG78" s="62">
        <v>1190933.1529999999</v>
      </c>
      <c r="BH78" s="62">
        <v>1037306.4599999998</v>
      </c>
      <c r="BI78" s="44">
        <v>1294371.9113447852</v>
      </c>
      <c r="BJ78" s="44">
        <v>5075.9682797834712</v>
      </c>
      <c r="BK78" s="44">
        <v>5060.0503056179768</v>
      </c>
      <c r="BL78" s="45">
        <v>3.1458134216217643E-3</v>
      </c>
      <c r="BM78" s="45">
        <v>1.8541865783782358E-3</v>
      </c>
      <c r="BN78" s="44">
        <v>2392.4807274618634</v>
      </c>
      <c r="BO78" s="62">
        <v>1450391.0850722471</v>
      </c>
      <c r="BP78" s="62">
        <v>5627.4820865578322</v>
      </c>
      <c r="BQ78" s="62" t="s">
        <v>92</v>
      </c>
      <c r="BR78" s="62">
        <v>5687.8081767539097</v>
      </c>
      <c r="BS78" s="53">
        <v>9.5948648902559608E-3</v>
      </c>
      <c r="BT78" s="44">
        <v>-6392.85</v>
      </c>
      <c r="BU78" s="44">
        <v>1443998.235072247</v>
      </c>
      <c r="BV78" s="44">
        <v>0</v>
      </c>
      <c r="BW78" s="44">
        <v>1443998.235072247</v>
      </c>
      <c r="BX78" s="44">
        <v>15383.153</v>
      </c>
      <c r="BY78" s="44">
        <v>1428615.0820722471</v>
      </c>
    </row>
    <row r="79" spans="1:77">
      <c r="A79">
        <v>2321</v>
      </c>
      <c r="B79" s="60">
        <v>103339</v>
      </c>
      <c r="C79" s="60">
        <v>3302321</v>
      </c>
      <c r="D79" s="61" t="s">
        <v>863</v>
      </c>
      <c r="E79" s="52">
        <v>184</v>
      </c>
      <c r="F79" s="52">
        <v>184</v>
      </c>
      <c r="G79" s="52">
        <v>0</v>
      </c>
      <c r="H79" s="44">
        <v>657708.47839999991</v>
      </c>
      <c r="I79" s="44">
        <v>0</v>
      </c>
      <c r="J79" s="44">
        <v>0</v>
      </c>
      <c r="K79" s="44">
        <v>59989.827800000035</v>
      </c>
      <c r="L79" s="44">
        <v>0</v>
      </c>
      <c r="M79" s="44">
        <v>101214.01859999997</v>
      </c>
      <c r="N79" s="44">
        <v>0</v>
      </c>
      <c r="O79" s="44">
        <v>1886.5983999999994</v>
      </c>
      <c r="P79" s="44">
        <v>0</v>
      </c>
      <c r="Q79" s="44">
        <v>1339.6857000000034</v>
      </c>
      <c r="R79" s="44">
        <v>6327.1299000000017</v>
      </c>
      <c r="S79" s="44">
        <v>63567.334799999975</v>
      </c>
      <c r="T79" s="44">
        <v>15694.8964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13449.51180246916</v>
      </c>
      <c r="AB79" s="44">
        <v>0</v>
      </c>
      <c r="AC79" s="44">
        <v>80680.855282560005</v>
      </c>
      <c r="AD79" s="44">
        <v>0</v>
      </c>
      <c r="AE79" s="44">
        <v>6705.0524159999941</v>
      </c>
      <c r="AF79" s="44">
        <v>0</v>
      </c>
      <c r="AG79" s="44">
        <v>138243.54</v>
      </c>
      <c r="AH79" s="44">
        <v>0</v>
      </c>
      <c r="AI79" s="44">
        <v>0</v>
      </c>
      <c r="AJ79" s="44">
        <v>0</v>
      </c>
      <c r="AK79" s="44">
        <v>15754.468000000001</v>
      </c>
      <c r="AL79" s="44">
        <v>0</v>
      </c>
      <c r="AM79" s="44">
        <v>0</v>
      </c>
      <c r="AN79" s="44">
        <v>0</v>
      </c>
      <c r="AO79" s="44">
        <v>0</v>
      </c>
      <c r="AP79" s="44">
        <v>0</v>
      </c>
      <c r="AQ79" s="44">
        <v>0</v>
      </c>
      <c r="AR79" s="44">
        <v>0</v>
      </c>
      <c r="AS79" s="44">
        <v>0</v>
      </c>
      <c r="AT79" s="44">
        <v>657708.47839999991</v>
      </c>
      <c r="AU79" s="44">
        <v>350854.91110102914</v>
      </c>
      <c r="AV79" s="44">
        <v>153998.008</v>
      </c>
      <c r="AW79" s="44">
        <v>238576.02500256</v>
      </c>
      <c r="AX79" s="62">
        <v>1162561.3975010291</v>
      </c>
      <c r="AY79" s="62">
        <v>1146806.929501029</v>
      </c>
      <c r="AZ79" s="62">
        <v>4610</v>
      </c>
      <c r="BA79" s="62">
        <v>848240</v>
      </c>
      <c r="BB79" s="62">
        <v>0</v>
      </c>
      <c r="BC79" s="62">
        <v>0</v>
      </c>
      <c r="BD79" s="62">
        <v>1162561.3975010291</v>
      </c>
      <c r="BE79" s="44">
        <v>1162561.3975010291</v>
      </c>
      <c r="BF79" s="44">
        <v>0</v>
      </c>
      <c r="BG79" s="62">
        <v>863994.46799999999</v>
      </c>
      <c r="BH79" s="62">
        <v>709996.46</v>
      </c>
      <c r="BI79" s="44">
        <v>1008563.389501029</v>
      </c>
      <c r="BJ79" s="44">
        <v>5481.3227690273316</v>
      </c>
      <c r="BK79" s="44">
        <v>5251.7931643617021</v>
      </c>
      <c r="BL79" s="45">
        <v>4.3704997032861299E-2</v>
      </c>
      <c r="BM79" s="45">
        <v>0</v>
      </c>
      <c r="BN79" s="44">
        <v>0</v>
      </c>
      <c r="BO79" s="62">
        <v>1162561.3975010291</v>
      </c>
      <c r="BP79" s="62">
        <v>6232.646355983853</v>
      </c>
      <c r="BQ79" s="62" t="s">
        <v>92</v>
      </c>
      <c r="BR79" s="62">
        <v>6318.268464679506</v>
      </c>
      <c r="BS79" s="53">
        <v>4.1159780701951032E-2</v>
      </c>
      <c r="BT79" s="44">
        <v>-4612.88</v>
      </c>
      <c r="BU79" s="44">
        <v>1157948.5175010292</v>
      </c>
      <c r="BV79" s="44">
        <v>0</v>
      </c>
      <c r="BW79" s="44">
        <v>1157948.5175010292</v>
      </c>
      <c r="BX79" s="44">
        <v>15754.468000000001</v>
      </c>
      <c r="BY79" s="44">
        <v>1142194.0495010291</v>
      </c>
    </row>
    <row r="80" spans="1:77">
      <c r="A80">
        <v>2401</v>
      </c>
      <c r="B80" s="60">
        <v>103341</v>
      </c>
      <c r="C80" s="60">
        <v>3302401</v>
      </c>
      <c r="D80" s="61" t="s">
        <v>248</v>
      </c>
      <c r="E80" s="52">
        <v>380</v>
      </c>
      <c r="F80" s="52">
        <v>380</v>
      </c>
      <c r="G80" s="52">
        <v>0</v>
      </c>
      <c r="H80" s="44">
        <v>1358310.9879999999</v>
      </c>
      <c r="I80" s="44">
        <v>0</v>
      </c>
      <c r="J80" s="44">
        <v>0</v>
      </c>
      <c r="K80" s="44">
        <v>29503.193999999952</v>
      </c>
      <c r="L80" s="44">
        <v>0</v>
      </c>
      <c r="M80" s="44">
        <v>49372.691999999915</v>
      </c>
      <c r="N80" s="44">
        <v>0</v>
      </c>
      <c r="O80" s="44">
        <v>2594.0727999999972</v>
      </c>
      <c r="P80" s="44">
        <v>572.00059999999974</v>
      </c>
      <c r="Q80" s="44">
        <v>446.56189999999981</v>
      </c>
      <c r="R80" s="44">
        <v>6327.1299000000045</v>
      </c>
      <c r="S80" s="44">
        <v>3617.6531999999906</v>
      </c>
      <c r="T80" s="44">
        <v>2729.5472000000041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9473.1343999999917</v>
      </c>
      <c r="AB80" s="44">
        <v>0</v>
      </c>
      <c r="AC80" s="44">
        <v>113360.50337610947</v>
      </c>
      <c r="AD80" s="44">
        <v>0</v>
      </c>
      <c r="AE80" s="44">
        <v>0</v>
      </c>
      <c r="AF80" s="44">
        <v>0</v>
      </c>
      <c r="AG80" s="44">
        <v>138243.54</v>
      </c>
      <c r="AH80" s="44">
        <v>0</v>
      </c>
      <c r="AI80" s="44">
        <v>0</v>
      </c>
      <c r="AJ80" s="44">
        <v>0</v>
      </c>
      <c r="AK80" s="44">
        <v>21048.997599999999</v>
      </c>
      <c r="AL80" s="44">
        <v>0</v>
      </c>
      <c r="AM80" s="44">
        <v>0</v>
      </c>
      <c r="AN80" s="44">
        <v>0</v>
      </c>
      <c r="AO80" s="44">
        <v>0</v>
      </c>
      <c r="AP80" s="44">
        <v>0</v>
      </c>
      <c r="AQ80" s="44">
        <v>0</v>
      </c>
      <c r="AR80" s="44">
        <v>0</v>
      </c>
      <c r="AS80" s="44">
        <v>0</v>
      </c>
      <c r="AT80" s="44">
        <v>1358310.9879999999</v>
      </c>
      <c r="AU80" s="44">
        <v>217996.48937610933</v>
      </c>
      <c r="AV80" s="44">
        <v>159292.53760000001</v>
      </c>
      <c r="AW80" s="44">
        <v>228857.4785761094</v>
      </c>
      <c r="AX80" s="62">
        <v>1735600.0149761091</v>
      </c>
      <c r="AY80" s="62">
        <v>1714551.0173761093</v>
      </c>
      <c r="AZ80" s="62">
        <v>4610</v>
      </c>
      <c r="BA80" s="62">
        <v>1751800</v>
      </c>
      <c r="BB80" s="62">
        <v>37248.982623890741</v>
      </c>
      <c r="BC80" s="62">
        <v>0</v>
      </c>
      <c r="BD80" s="62">
        <v>1772848.9975999999</v>
      </c>
      <c r="BE80" s="44">
        <v>1772848.9975999999</v>
      </c>
      <c r="BF80" s="44">
        <v>0</v>
      </c>
      <c r="BG80" s="62">
        <v>1772848.9975999999</v>
      </c>
      <c r="BH80" s="62">
        <v>1613556.46</v>
      </c>
      <c r="BI80" s="44">
        <v>1613556.46</v>
      </c>
      <c r="BJ80" s="44">
        <v>4246.2012105263157</v>
      </c>
      <c r="BK80" s="44">
        <v>4191.4606199999998</v>
      </c>
      <c r="BL80" s="45">
        <v>1.3060027395966761E-2</v>
      </c>
      <c r="BM80" s="45">
        <v>0</v>
      </c>
      <c r="BN80" s="44">
        <v>0</v>
      </c>
      <c r="BO80" s="62">
        <v>1772848.9975999999</v>
      </c>
      <c r="BP80" s="62">
        <v>4610</v>
      </c>
      <c r="BQ80" s="62" t="s">
        <v>92</v>
      </c>
      <c r="BR80" s="62">
        <v>4665.3920989473681</v>
      </c>
      <c r="BS80" s="53">
        <v>1.2226835804478142E-2</v>
      </c>
      <c r="BT80" s="44">
        <v>-9526.6</v>
      </c>
      <c r="BU80" s="44">
        <v>1763322.3975999998</v>
      </c>
      <c r="BV80" s="44">
        <v>0</v>
      </c>
      <c r="BW80" s="44">
        <v>1763322.3975999998</v>
      </c>
      <c r="BX80" s="44">
        <v>21048.997599999999</v>
      </c>
      <c r="BY80" s="44">
        <v>1742273.4</v>
      </c>
    </row>
    <row r="81" spans="1:77">
      <c r="A81">
        <v>2402</v>
      </c>
      <c r="B81" s="60">
        <v>103342</v>
      </c>
      <c r="C81" s="60">
        <v>3302402</v>
      </c>
      <c r="D81" s="61" t="s">
        <v>245</v>
      </c>
      <c r="E81" s="52">
        <v>280</v>
      </c>
      <c r="F81" s="52">
        <v>280</v>
      </c>
      <c r="G81" s="52">
        <v>0</v>
      </c>
      <c r="H81" s="44">
        <v>1000860.7279999999</v>
      </c>
      <c r="I81" s="44">
        <v>0</v>
      </c>
      <c r="J81" s="44">
        <v>0</v>
      </c>
      <c r="K81" s="44">
        <v>17210.196499999998</v>
      </c>
      <c r="L81" s="44">
        <v>0</v>
      </c>
      <c r="M81" s="44">
        <v>29623.615200000098</v>
      </c>
      <c r="N81" s="44">
        <v>0</v>
      </c>
      <c r="O81" s="44">
        <v>715.13657761732907</v>
      </c>
      <c r="P81" s="44">
        <v>867.29332851985623</v>
      </c>
      <c r="Q81" s="44">
        <v>451.39831046931442</v>
      </c>
      <c r="R81" s="44">
        <v>5411.7078844765383</v>
      </c>
      <c r="S81" s="44">
        <v>4179.2383537906171</v>
      </c>
      <c r="T81" s="44">
        <v>2069.3318122743699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19399.76991489367</v>
      </c>
      <c r="AB81" s="44">
        <v>0</v>
      </c>
      <c r="AC81" s="44">
        <v>92405.37055135124</v>
      </c>
      <c r="AD81" s="44">
        <v>0</v>
      </c>
      <c r="AE81" s="44">
        <v>0</v>
      </c>
      <c r="AF81" s="44">
        <v>0</v>
      </c>
      <c r="AG81" s="44">
        <v>138243.54</v>
      </c>
      <c r="AH81" s="44">
        <v>0</v>
      </c>
      <c r="AI81" s="44">
        <v>0</v>
      </c>
      <c r="AJ81" s="44">
        <v>0</v>
      </c>
      <c r="AK81" s="44">
        <v>18078.8999</v>
      </c>
      <c r="AL81" s="44">
        <v>0</v>
      </c>
      <c r="AM81" s="44">
        <v>0</v>
      </c>
      <c r="AN81" s="44">
        <v>0</v>
      </c>
      <c r="AO81" s="44">
        <v>0</v>
      </c>
      <c r="AP81" s="44">
        <v>0</v>
      </c>
      <c r="AQ81" s="44">
        <v>0</v>
      </c>
      <c r="AR81" s="44">
        <v>0</v>
      </c>
      <c r="AS81" s="44">
        <v>0</v>
      </c>
      <c r="AT81" s="44">
        <v>1000860.7279999999</v>
      </c>
      <c r="AU81" s="44">
        <v>172333.05843339302</v>
      </c>
      <c r="AV81" s="44">
        <v>156322.4399</v>
      </c>
      <c r="AW81" s="44">
        <v>172712.3659349253</v>
      </c>
      <c r="AX81" s="62">
        <v>1329516.2263333928</v>
      </c>
      <c r="AY81" s="62">
        <v>1311437.3264333927</v>
      </c>
      <c r="AZ81" s="62">
        <v>4610</v>
      </c>
      <c r="BA81" s="62">
        <v>1290800</v>
      </c>
      <c r="BB81" s="62">
        <v>0</v>
      </c>
      <c r="BC81" s="62">
        <v>0</v>
      </c>
      <c r="BD81" s="62">
        <v>1329516.2263333928</v>
      </c>
      <c r="BE81" s="44">
        <v>1329516.2263333928</v>
      </c>
      <c r="BF81" s="44">
        <v>0</v>
      </c>
      <c r="BG81" s="62">
        <v>1308878.8999000001</v>
      </c>
      <c r="BH81" s="62">
        <v>1152556.46</v>
      </c>
      <c r="BI81" s="44">
        <v>1173193.7864333927</v>
      </c>
      <c r="BJ81" s="44">
        <v>4189.9778086906881</v>
      </c>
      <c r="BK81" s="44">
        <v>4190.553660649819</v>
      </c>
      <c r="BL81" s="45">
        <v>-1.3741667707020626E-4</v>
      </c>
      <c r="BM81" s="45">
        <v>5.137416677070206E-3</v>
      </c>
      <c r="BN81" s="44">
        <v>6028.0136734663947</v>
      </c>
      <c r="BO81" s="62">
        <v>1335544.2400068592</v>
      </c>
      <c r="BP81" s="62">
        <v>4705.2333575244966</v>
      </c>
      <c r="BQ81" s="62" t="s">
        <v>92</v>
      </c>
      <c r="BR81" s="62">
        <v>4769.8008571673545</v>
      </c>
      <c r="BS81" s="53">
        <v>3.5361361588643891E-3</v>
      </c>
      <c r="BT81" s="44">
        <v>-7019.6</v>
      </c>
      <c r="BU81" s="44">
        <v>1328524.6400068591</v>
      </c>
      <c r="BV81" s="44">
        <v>0</v>
      </c>
      <c r="BW81" s="44">
        <v>1328524.6400068591</v>
      </c>
      <c r="BX81" s="44">
        <v>18078.8999</v>
      </c>
      <c r="BY81" s="44">
        <v>1310445.740106859</v>
      </c>
    </row>
    <row r="82" spans="1:77">
      <c r="A82">
        <v>2406</v>
      </c>
      <c r="B82" s="60">
        <v>103345</v>
      </c>
      <c r="C82" s="60">
        <v>3302406</v>
      </c>
      <c r="D82" s="61" t="s">
        <v>488</v>
      </c>
      <c r="E82" s="52">
        <v>204</v>
      </c>
      <c r="F82" s="52">
        <v>204</v>
      </c>
      <c r="G82" s="52">
        <v>0</v>
      </c>
      <c r="H82" s="44">
        <v>729198.53039999993</v>
      </c>
      <c r="I82" s="44">
        <v>0</v>
      </c>
      <c r="J82" s="44">
        <v>0</v>
      </c>
      <c r="K82" s="44">
        <v>46221.670599999976</v>
      </c>
      <c r="L82" s="44">
        <v>0</v>
      </c>
      <c r="M82" s="44">
        <v>78173.429000000004</v>
      </c>
      <c r="N82" s="44">
        <v>0</v>
      </c>
      <c r="O82" s="44">
        <v>17537.000890640422</v>
      </c>
      <c r="P82" s="44">
        <v>1724.4550108374372</v>
      </c>
      <c r="Q82" s="44">
        <v>5385.1405477832477</v>
      </c>
      <c r="R82" s="44">
        <v>1956.3993931034436</v>
      </c>
      <c r="S82" s="44">
        <v>19216.077659113329</v>
      </c>
      <c r="T82" s="44">
        <v>24001.190896551689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6211.6695565714253</v>
      </c>
      <c r="AB82" s="44">
        <v>0</v>
      </c>
      <c r="AC82" s="44">
        <v>101182.5899901099</v>
      </c>
      <c r="AD82" s="44">
        <v>0</v>
      </c>
      <c r="AE82" s="44">
        <v>3622.2696960000003</v>
      </c>
      <c r="AF82" s="44">
        <v>0</v>
      </c>
      <c r="AG82" s="44">
        <v>138243.54</v>
      </c>
      <c r="AH82" s="44">
        <v>0</v>
      </c>
      <c r="AI82" s="44">
        <v>0</v>
      </c>
      <c r="AJ82" s="44">
        <v>0</v>
      </c>
      <c r="AK82" s="44">
        <v>12359.454100000001</v>
      </c>
      <c r="AL82" s="44">
        <v>0</v>
      </c>
      <c r="AM82" s="44">
        <v>0</v>
      </c>
      <c r="AN82" s="44">
        <v>0</v>
      </c>
      <c r="AO82" s="44">
        <v>0</v>
      </c>
      <c r="AP82" s="44">
        <v>0</v>
      </c>
      <c r="AQ82" s="44">
        <v>0</v>
      </c>
      <c r="AR82" s="44">
        <v>0</v>
      </c>
      <c r="AS82" s="44">
        <v>0</v>
      </c>
      <c r="AT82" s="44">
        <v>729198.53039999993</v>
      </c>
      <c r="AU82" s="44">
        <v>305231.8932407109</v>
      </c>
      <c r="AV82" s="44">
        <v>150602.99410000001</v>
      </c>
      <c r="AW82" s="44">
        <v>234750.19850912469</v>
      </c>
      <c r="AX82" s="62">
        <v>1185033.4177407108</v>
      </c>
      <c r="AY82" s="62">
        <v>1172673.9636407108</v>
      </c>
      <c r="AZ82" s="62">
        <v>4610</v>
      </c>
      <c r="BA82" s="62">
        <v>940440</v>
      </c>
      <c r="BB82" s="62">
        <v>0</v>
      </c>
      <c r="BC82" s="62">
        <v>0</v>
      </c>
      <c r="BD82" s="62">
        <v>1185033.4177407108</v>
      </c>
      <c r="BE82" s="44">
        <v>1185033.4177407108</v>
      </c>
      <c r="BF82" s="44">
        <v>0</v>
      </c>
      <c r="BG82" s="62">
        <v>952799.45409999997</v>
      </c>
      <c r="BH82" s="62">
        <v>802196.46</v>
      </c>
      <c r="BI82" s="44">
        <v>1034430.4236407108</v>
      </c>
      <c r="BJ82" s="44">
        <v>5070.7373707877978</v>
      </c>
      <c r="BK82" s="44">
        <v>5082.05341884058</v>
      </c>
      <c r="BL82" s="45">
        <v>-2.2266684586255002E-3</v>
      </c>
      <c r="BM82" s="45">
        <v>7.2266684586255008E-3</v>
      </c>
      <c r="BN82" s="44">
        <v>7492.168289984962</v>
      </c>
      <c r="BO82" s="62">
        <v>1192525.5860306958</v>
      </c>
      <c r="BP82" s="62">
        <v>5785.1280976994894</v>
      </c>
      <c r="BQ82" s="62" t="s">
        <v>92</v>
      </c>
      <c r="BR82" s="62">
        <v>5845.7136570132152</v>
      </c>
      <c r="BS82" s="53">
        <v>6.516782890224837E-3</v>
      </c>
      <c r="BT82" s="44">
        <v>-5114.28</v>
      </c>
      <c r="BU82" s="44">
        <v>1187411.3060306958</v>
      </c>
      <c r="BV82" s="44">
        <v>0</v>
      </c>
      <c r="BW82" s="44">
        <v>1187411.3060306958</v>
      </c>
      <c r="BX82" s="44">
        <v>12359.454100000001</v>
      </c>
      <c r="BY82" s="44">
        <v>1175051.8519306958</v>
      </c>
    </row>
    <row r="83" spans="1:77">
      <c r="A83">
        <v>2412</v>
      </c>
      <c r="B83" s="60">
        <v>103349</v>
      </c>
      <c r="C83" s="60">
        <v>3302412</v>
      </c>
      <c r="D83" s="61" t="s">
        <v>408</v>
      </c>
      <c r="E83" s="52">
        <v>419</v>
      </c>
      <c r="F83" s="52">
        <v>419</v>
      </c>
      <c r="G83" s="52">
        <v>0</v>
      </c>
      <c r="H83" s="44">
        <v>1497716.5893999999</v>
      </c>
      <c r="I83" s="44">
        <v>0</v>
      </c>
      <c r="J83" s="44">
        <v>0</v>
      </c>
      <c r="K83" s="44">
        <v>47696.830299999936</v>
      </c>
      <c r="L83" s="44">
        <v>0</v>
      </c>
      <c r="M83" s="44">
        <v>83110.698199999912</v>
      </c>
      <c r="N83" s="44">
        <v>0</v>
      </c>
      <c r="O83" s="44">
        <v>3537.3719999999976</v>
      </c>
      <c r="P83" s="44">
        <v>2002.0020999999945</v>
      </c>
      <c r="Q83" s="44">
        <v>893.12379999999996</v>
      </c>
      <c r="R83" s="44">
        <v>6327.1299000000081</v>
      </c>
      <c r="S83" s="44">
        <v>3617.6531999999902</v>
      </c>
      <c r="T83" s="44">
        <v>44355.142000000065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22931.552757142868</v>
      </c>
      <c r="AB83" s="44">
        <v>0</v>
      </c>
      <c r="AC83" s="44">
        <v>151299.94202063285</v>
      </c>
      <c r="AD83" s="44">
        <v>0</v>
      </c>
      <c r="AE83" s="44">
        <v>0</v>
      </c>
      <c r="AF83" s="44">
        <v>0</v>
      </c>
      <c r="AG83" s="44">
        <v>138243.54</v>
      </c>
      <c r="AH83" s="44">
        <v>0</v>
      </c>
      <c r="AI83" s="44">
        <v>0</v>
      </c>
      <c r="AJ83" s="44">
        <v>0</v>
      </c>
      <c r="AK83" s="44">
        <v>32064.806400000001</v>
      </c>
      <c r="AL83" s="44">
        <v>0</v>
      </c>
      <c r="AM83" s="44">
        <v>0</v>
      </c>
      <c r="AN83" s="44">
        <v>0</v>
      </c>
      <c r="AO83" s="44">
        <v>0</v>
      </c>
      <c r="AP83" s="44">
        <v>0</v>
      </c>
      <c r="AQ83" s="44">
        <v>0</v>
      </c>
      <c r="AR83" s="44">
        <v>0</v>
      </c>
      <c r="AS83" s="44">
        <v>0</v>
      </c>
      <c r="AT83" s="44">
        <v>1497716.5893999999</v>
      </c>
      <c r="AU83" s="44">
        <v>365771.44627777563</v>
      </c>
      <c r="AV83" s="44">
        <v>170308.34640000001</v>
      </c>
      <c r="AW83" s="44">
        <v>321955.74724063277</v>
      </c>
      <c r="AX83" s="62">
        <v>2033796.3820777754</v>
      </c>
      <c r="AY83" s="62">
        <v>2001731.5756777753</v>
      </c>
      <c r="AZ83" s="62">
        <v>4610</v>
      </c>
      <c r="BA83" s="62">
        <v>1931590</v>
      </c>
      <c r="BB83" s="62">
        <v>0</v>
      </c>
      <c r="BC83" s="62">
        <v>0</v>
      </c>
      <c r="BD83" s="62">
        <v>2033796.3820777754</v>
      </c>
      <c r="BE83" s="44">
        <v>2033796.3820777754</v>
      </c>
      <c r="BF83" s="44">
        <v>0</v>
      </c>
      <c r="BG83" s="62">
        <v>1963654.8064000001</v>
      </c>
      <c r="BH83" s="62">
        <v>1793346.46</v>
      </c>
      <c r="BI83" s="44">
        <v>1863488.0356777753</v>
      </c>
      <c r="BJ83" s="44">
        <v>4447.4654789445713</v>
      </c>
      <c r="BK83" s="44">
        <v>4393.0391516746413</v>
      </c>
      <c r="BL83" s="45">
        <v>1.2389219715736536E-2</v>
      </c>
      <c r="BM83" s="45">
        <v>0</v>
      </c>
      <c r="BN83" s="44">
        <v>0</v>
      </c>
      <c r="BO83" s="62">
        <v>2033796.3820777754</v>
      </c>
      <c r="BP83" s="62">
        <v>4777.402328586576</v>
      </c>
      <c r="BQ83" s="62" t="s">
        <v>92</v>
      </c>
      <c r="BR83" s="62">
        <v>4853.9293128347863</v>
      </c>
      <c r="BS83" s="53">
        <v>1.1605961043135382E-2</v>
      </c>
      <c r="BT83" s="44">
        <v>-10504.33</v>
      </c>
      <c r="BU83" s="44">
        <v>2023292.0520777754</v>
      </c>
      <c r="BV83" s="44">
        <v>0</v>
      </c>
      <c r="BW83" s="44">
        <v>2023292.0520777754</v>
      </c>
      <c r="BX83" s="44">
        <v>32064.806400000001</v>
      </c>
      <c r="BY83" s="44">
        <v>1991227.2456777752</v>
      </c>
    </row>
    <row r="84" spans="1:77">
      <c r="A84">
        <v>2416</v>
      </c>
      <c r="B84" s="60">
        <v>103351</v>
      </c>
      <c r="C84" s="60">
        <v>3302416</v>
      </c>
      <c r="D84" s="61" t="s">
        <v>333</v>
      </c>
      <c r="E84" s="52">
        <v>415</v>
      </c>
      <c r="F84" s="52">
        <v>415</v>
      </c>
      <c r="G84" s="52">
        <v>0</v>
      </c>
      <c r="H84" s="44">
        <v>1483418.5789999999</v>
      </c>
      <c r="I84" s="44">
        <v>0</v>
      </c>
      <c r="J84" s="44">
        <v>0</v>
      </c>
      <c r="K84" s="44">
        <v>15934.449656171295</v>
      </c>
      <c r="L84" s="44">
        <v>0</v>
      </c>
      <c r="M84" s="44">
        <v>29246.376327455906</v>
      </c>
      <c r="N84" s="44">
        <v>0</v>
      </c>
      <c r="O84" s="44">
        <v>6919.9095353535358</v>
      </c>
      <c r="P84" s="44">
        <v>899.16760984848531</v>
      </c>
      <c r="Q84" s="44">
        <v>0</v>
      </c>
      <c r="R84" s="44">
        <v>6630.7043143939327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24060.566692878328</v>
      </c>
      <c r="AB84" s="44">
        <v>0</v>
      </c>
      <c r="AC84" s="44">
        <v>83811.154436200639</v>
      </c>
      <c r="AD84" s="44">
        <v>0</v>
      </c>
      <c r="AE84" s="44">
        <v>0</v>
      </c>
      <c r="AF84" s="44">
        <v>0</v>
      </c>
      <c r="AG84" s="44">
        <v>138243.54</v>
      </c>
      <c r="AH84" s="44">
        <v>0</v>
      </c>
      <c r="AI84" s="44">
        <v>0</v>
      </c>
      <c r="AJ84" s="44">
        <v>0</v>
      </c>
      <c r="AK84" s="44">
        <v>32594.803199999998</v>
      </c>
      <c r="AL84" s="44">
        <v>0</v>
      </c>
      <c r="AM84" s="44">
        <v>0</v>
      </c>
      <c r="AN84" s="44">
        <v>0</v>
      </c>
      <c r="AO84" s="44">
        <v>0</v>
      </c>
      <c r="AP84" s="44">
        <v>0</v>
      </c>
      <c r="AQ84" s="44">
        <v>0</v>
      </c>
      <c r="AR84" s="44">
        <v>0</v>
      </c>
      <c r="AS84" s="44">
        <v>0</v>
      </c>
      <c r="AT84" s="44">
        <v>1483418.5789999999</v>
      </c>
      <c r="AU84" s="44">
        <v>167502.32857230213</v>
      </c>
      <c r="AV84" s="44">
        <v>170838.3432</v>
      </c>
      <c r="AW84" s="44">
        <v>187797.38710781222</v>
      </c>
      <c r="AX84" s="62">
        <v>1821759.250772302</v>
      </c>
      <c r="AY84" s="62">
        <v>1789164.4475723021</v>
      </c>
      <c r="AZ84" s="62">
        <v>4610</v>
      </c>
      <c r="BA84" s="62">
        <v>1913150</v>
      </c>
      <c r="BB84" s="62">
        <v>123985.55242769793</v>
      </c>
      <c r="BC84" s="62">
        <v>0</v>
      </c>
      <c r="BD84" s="62">
        <v>1945744.8032</v>
      </c>
      <c r="BE84" s="44">
        <v>1945744.8032</v>
      </c>
      <c r="BF84" s="44">
        <v>0</v>
      </c>
      <c r="BG84" s="62">
        <v>1945744.8032</v>
      </c>
      <c r="BH84" s="62">
        <v>1774906.46</v>
      </c>
      <c r="BI84" s="44">
        <v>1774906.46</v>
      </c>
      <c r="BJ84" s="44">
        <v>4276.883036144578</v>
      </c>
      <c r="BK84" s="44">
        <v>4180.3274328476818</v>
      </c>
      <c r="BL84" s="45">
        <v>2.3097617315378925E-2</v>
      </c>
      <c r="BM84" s="45">
        <v>0</v>
      </c>
      <c r="BN84" s="44">
        <v>0</v>
      </c>
      <c r="BO84" s="62">
        <v>1945744.8032</v>
      </c>
      <c r="BP84" s="62">
        <v>4610</v>
      </c>
      <c r="BQ84" s="62" t="s">
        <v>92</v>
      </c>
      <c r="BR84" s="62">
        <v>4688.541694457831</v>
      </c>
      <c r="BS84" s="53">
        <v>1.2564287093435489E-2</v>
      </c>
      <c r="BT84" s="44">
        <v>-10404.049999999999</v>
      </c>
      <c r="BU84" s="44">
        <v>1935340.7531999999</v>
      </c>
      <c r="BV84" s="44">
        <v>0</v>
      </c>
      <c r="BW84" s="44">
        <v>1935340.7531999999</v>
      </c>
      <c r="BX84" s="44">
        <v>32594.803199999998</v>
      </c>
      <c r="BY84" s="44">
        <v>1902745.95</v>
      </c>
    </row>
    <row r="85" spans="1:77">
      <c r="A85">
        <v>2420</v>
      </c>
      <c r="B85" s="60">
        <v>103353</v>
      </c>
      <c r="C85" s="60">
        <v>3302420</v>
      </c>
      <c r="D85" s="61" t="s">
        <v>485</v>
      </c>
      <c r="E85" s="52">
        <v>418</v>
      </c>
      <c r="F85" s="52">
        <v>418</v>
      </c>
      <c r="G85" s="52">
        <v>0</v>
      </c>
      <c r="H85" s="44">
        <v>1494142.0867999999</v>
      </c>
      <c r="I85" s="44">
        <v>0</v>
      </c>
      <c r="J85" s="44">
        <v>0</v>
      </c>
      <c r="K85" s="44">
        <v>11801.277599999992</v>
      </c>
      <c r="L85" s="44">
        <v>0</v>
      </c>
      <c r="M85" s="44">
        <v>20571.955000000005</v>
      </c>
      <c r="N85" s="44">
        <v>0</v>
      </c>
      <c r="O85" s="44">
        <v>1414.9487999999969</v>
      </c>
      <c r="P85" s="44">
        <v>572.00059999999985</v>
      </c>
      <c r="Q85" s="44">
        <v>0</v>
      </c>
      <c r="R85" s="44">
        <v>1460.1069000000007</v>
      </c>
      <c r="S85" s="44">
        <v>516.807600000001</v>
      </c>
      <c r="T85" s="44">
        <v>2047.1604000000009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17234.375779944279</v>
      </c>
      <c r="AB85" s="44">
        <v>0</v>
      </c>
      <c r="AC85" s="44">
        <v>101310.37256864416</v>
      </c>
      <c r="AD85" s="44">
        <v>0</v>
      </c>
      <c r="AE85" s="44">
        <v>0</v>
      </c>
      <c r="AF85" s="44">
        <v>0</v>
      </c>
      <c r="AG85" s="44">
        <v>138243.54</v>
      </c>
      <c r="AH85" s="44">
        <v>0</v>
      </c>
      <c r="AI85" s="44">
        <v>0</v>
      </c>
      <c r="AJ85" s="44">
        <v>0</v>
      </c>
      <c r="AK85" s="44">
        <v>24535.640299999999</v>
      </c>
      <c r="AL85" s="44">
        <v>0</v>
      </c>
      <c r="AM85" s="44">
        <v>0</v>
      </c>
      <c r="AN85" s="44">
        <v>0</v>
      </c>
      <c r="AO85" s="44">
        <v>0</v>
      </c>
      <c r="AP85" s="44">
        <v>0</v>
      </c>
      <c r="AQ85" s="44">
        <v>0</v>
      </c>
      <c r="AR85" s="44">
        <v>0</v>
      </c>
      <c r="AS85" s="44">
        <v>0</v>
      </c>
      <c r="AT85" s="44">
        <v>1494142.0867999999</v>
      </c>
      <c r="AU85" s="44">
        <v>156929.00524858845</v>
      </c>
      <c r="AV85" s="44">
        <v>162779.18030000001</v>
      </c>
      <c r="AW85" s="44">
        <v>195209.60535864416</v>
      </c>
      <c r="AX85" s="62">
        <v>1813850.2723485883</v>
      </c>
      <c r="AY85" s="62">
        <v>1789314.6320485882</v>
      </c>
      <c r="AZ85" s="62">
        <v>4610</v>
      </c>
      <c r="BA85" s="62">
        <v>1926980</v>
      </c>
      <c r="BB85" s="62">
        <v>137665.36795141175</v>
      </c>
      <c r="BC85" s="62">
        <v>0</v>
      </c>
      <c r="BD85" s="62">
        <v>1951515.6403000001</v>
      </c>
      <c r="BE85" s="44">
        <v>1951515.6402999996</v>
      </c>
      <c r="BF85" s="44">
        <v>0</v>
      </c>
      <c r="BG85" s="62">
        <v>1951515.6403000001</v>
      </c>
      <c r="BH85" s="62">
        <v>1788736.46</v>
      </c>
      <c r="BI85" s="44">
        <v>1788736.46</v>
      </c>
      <c r="BJ85" s="44">
        <v>4279.2738277511962</v>
      </c>
      <c r="BK85" s="44">
        <v>4209.9979568019089</v>
      </c>
      <c r="BL85" s="45">
        <v>1.6455084220970067E-2</v>
      </c>
      <c r="BM85" s="45">
        <v>0</v>
      </c>
      <c r="BN85" s="44">
        <v>0</v>
      </c>
      <c r="BO85" s="62">
        <v>1951515.6403000001</v>
      </c>
      <c r="BP85" s="62">
        <v>4610</v>
      </c>
      <c r="BQ85" s="62" t="s">
        <v>92</v>
      </c>
      <c r="BR85" s="62">
        <v>4668.6977040669863</v>
      </c>
      <c r="BS85" s="53">
        <v>1.5643719694572233E-2</v>
      </c>
      <c r="BT85" s="44">
        <v>-10479.26</v>
      </c>
      <c r="BU85" s="44">
        <v>1941036.3803000001</v>
      </c>
      <c r="BV85" s="44">
        <v>0</v>
      </c>
      <c r="BW85" s="44">
        <v>1941036.3803000001</v>
      </c>
      <c r="BX85" s="44">
        <v>24535.640299999999</v>
      </c>
      <c r="BY85" s="44">
        <v>1916500.74</v>
      </c>
    </row>
    <row r="86" spans="1:77">
      <c r="A86">
        <v>2425</v>
      </c>
      <c r="B86" s="60">
        <v>103356</v>
      </c>
      <c r="C86" s="60">
        <v>3302425</v>
      </c>
      <c r="D86" s="61" t="s">
        <v>745</v>
      </c>
      <c r="E86" s="52">
        <v>211</v>
      </c>
      <c r="F86" s="52">
        <v>211</v>
      </c>
      <c r="G86" s="52">
        <v>0</v>
      </c>
      <c r="H86" s="44">
        <v>754220.04859999998</v>
      </c>
      <c r="I86" s="44">
        <v>0</v>
      </c>
      <c r="J86" s="44">
        <v>0</v>
      </c>
      <c r="K86" s="44">
        <v>12784.717400000012</v>
      </c>
      <c r="L86" s="44">
        <v>0</v>
      </c>
      <c r="M86" s="44">
        <v>21394.833200000019</v>
      </c>
      <c r="N86" s="44">
        <v>0</v>
      </c>
      <c r="O86" s="44">
        <v>2829.897599999998</v>
      </c>
      <c r="P86" s="44">
        <v>23452.024600000022</v>
      </c>
      <c r="Q86" s="44">
        <v>0</v>
      </c>
      <c r="R86" s="44">
        <v>2920.2138000000027</v>
      </c>
      <c r="S86" s="44">
        <v>0</v>
      </c>
      <c r="T86" s="44">
        <v>1364.7735999999998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7763.8223666666636</v>
      </c>
      <c r="AB86" s="44">
        <v>0</v>
      </c>
      <c r="AC86" s="44">
        <v>65382.204540358311</v>
      </c>
      <c r="AD86" s="44">
        <v>0</v>
      </c>
      <c r="AE86" s="44">
        <v>0</v>
      </c>
      <c r="AF86" s="44">
        <v>0</v>
      </c>
      <c r="AG86" s="44">
        <v>138243.54</v>
      </c>
      <c r="AH86" s="44">
        <v>0</v>
      </c>
      <c r="AI86" s="44">
        <v>0</v>
      </c>
      <c r="AJ86" s="44">
        <v>0</v>
      </c>
      <c r="AK86" s="44">
        <v>15625.3266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754220.04859999998</v>
      </c>
      <c r="AU86" s="44">
        <v>137892.48710702502</v>
      </c>
      <c r="AV86" s="44">
        <v>153868.86660000001</v>
      </c>
      <c r="AW86" s="44">
        <v>135466.43707035834</v>
      </c>
      <c r="AX86" s="62">
        <v>1045981.4023070249</v>
      </c>
      <c r="AY86" s="62">
        <v>1030356.0757070249</v>
      </c>
      <c r="AZ86" s="62">
        <v>4610</v>
      </c>
      <c r="BA86" s="62">
        <v>972710</v>
      </c>
      <c r="BB86" s="62">
        <v>0</v>
      </c>
      <c r="BC86" s="62">
        <v>0</v>
      </c>
      <c r="BD86" s="62">
        <v>1045981.4023070249</v>
      </c>
      <c r="BE86" s="44">
        <v>1045981.4023070249</v>
      </c>
      <c r="BF86" s="44">
        <v>0</v>
      </c>
      <c r="BG86" s="62">
        <v>988335.32660000003</v>
      </c>
      <c r="BH86" s="62">
        <v>834466.46</v>
      </c>
      <c r="BI86" s="44">
        <v>892112.53570702486</v>
      </c>
      <c r="BJ86" s="44">
        <v>4228.021496241824</v>
      </c>
      <c r="BK86" s="44">
        <v>4208.3572587677727</v>
      </c>
      <c r="BL86" s="45">
        <v>4.6726635275753936E-3</v>
      </c>
      <c r="BM86" s="45">
        <v>3.273364724246065E-4</v>
      </c>
      <c r="BN86" s="44">
        <v>290.66280097516875</v>
      </c>
      <c r="BO86" s="62">
        <v>1046272.0651080001</v>
      </c>
      <c r="BP86" s="62">
        <v>4884.5816990900476</v>
      </c>
      <c r="BQ86" s="62" t="s">
        <v>92</v>
      </c>
      <c r="BR86" s="62">
        <v>4958.6353796587682</v>
      </c>
      <c r="BS86" s="53">
        <v>4.7004330251374515E-3</v>
      </c>
      <c r="BT86" s="44">
        <v>-5289.77</v>
      </c>
      <c r="BU86" s="44">
        <v>1040982.295108</v>
      </c>
      <c r="BV86" s="44">
        <v>0</v>
      </c>
      <c r="BW86" s="44">
        <v>1040982.295108</v>
      </c>
      <c r="BX86" s="44">
        <v>15625.3266</v>
      </c>
      <c r="BY86" s="44">
        <v>1025356.968508</v>
      </c>
    </row>
    <row r="87" spans="1:77">
      <c r="A87">
        <v>2435</v>
      </c>
      <c r="B87" s="60">
        <v>103362</v>
      </c>
      <c r="C87" s="60">
        <v>3302435</v>
      </c>
      <c r="D87" s="61" t="s">
        <v>425</v>
      </c>
      <c r="E87" s="52">
        <v>382</v>
      </c>
      <c r="F87" s="52">
        <v>382</v>
      </c>
      <c r="G87" s="52">
        <v>0</v>
      </c>
      <c r="H87" s="44">
        <v>1365459.9931999999</v>
      </c>
      <c r="I87" s="44">
        <v>0</v>
      </c>
      <c r="J87" s="44">
        <v>0</v>
      </c>
      <c r="K87" s="44">
        <v>93918.500899999999</v>
      </c>
      <c r="L87" s="44">
        <v>0</v>
      </c>
      <c r="M87" s="44">
        <v>159638.37079999992</v>
      </c>
      <c r="N87" s="44">
        <v>0</v>
      </c>
      <c r="O87" s="44">
        <v>472.88752545931783</v>
      </c>
      <c r="P87" s="44">
        <v>2007.256698687665</v>
      </c>
      <c r="Q87" s="44">
        <v>9402.4135480314999</v>
      </c>
      <c r="R87" s="44">
        <v>17567.270418897642</v>
      </c>
      <c r="S87" s="44">
        <v>77206.443508661352</v>
      </c>
      <c r="T87" s="44">
        <v>108784.2767937007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89400.959378171188</v>
      </c>
      <c r="AB87" s="44">
        <v>0</v>
      </c>
      <c r="AC87" s="44">
        <v>208690.78293028532</v>
      </c>
      <c r="AD87" s="44">
        <v>0</v>
      </c>
      <c r="AE87" s="44">
        <v>16454.352768000095</v>
      </c>
      <c r="AF87" s="44">
        <v>0</v>
      </c>
      <c r="AG87" s="44">
        <v>138243.54</v>
      </c>
      <c r="AH87" s="44">
        <v>0</v>
      </c>
      <c r="AI87" s="44">
        <v>0</v>
      </c>
      <c r="AJ87" s="44">
        <v>0</v>
      </c>
      <c r="AK87" s="44">
        <v>47699.712</v>
      </c>
      <c r="AL87" s="44">
        <v>0</v>
      </c>
      <c r="AM87" s="44">
        <v>0</v>
      </c>
      <c r="AN87" s="44">
        <v>0</v>
      </c>
      <c r="AO87" s="44">
        <v>0</v>
      </c>
      <c r="AP87" s="44">
        <v>0</v>
      </c>
      <c r="AQ87" s="44">
        <v>0</v>
      </c>
      <c r="AR87" s="44">
        <v>0</v>
      </c>
      <c r="AS87" s="44">
        <v>0</v>
      </c>
      <c r="AT87" s="44">
        <v>1365459.9931999999</v>
      </c>
      <c r="AU87" s="44">
        <v>783543.51526989462</v>
      </c>
      <c r="AV87" s="44">
        <v>185943.25200000001</v>
      </c>
      <c r="AW87" s="44">
        <v>511462.49268700439</v>
      </c>
      <c r="AX87" s="62">
        <v>2334946.7604698944</v>
      </c>
      <c r="AY87" s="62">
        <v>2287247.0484698946</v>
      </c>
      <c r="AZ87" s="62">
        <v>4610</v>
      </c>
      <c r="BA87" s="62">
        <v>1761020</v>
      </c>
      <c r="BB87" s="62">
        <v>0</v>
      </c>
      <c r="BC87" s="62">
        <v>0</v>
      </c>
      <c r="BD87" s="62">
        <v>2334946.7604698944</v>
      </c>
      <c r="BE87" s="44">
        <v>2334946.7604698949</v>
      </c>
      <c r="BF87" s="44">
        <v>0</v>
      </c>
      <c r="BG87" s="62">
        <v>1808719.7120000001</v>
      </c>
      <c r="BH87" s="62">
        <v>1622776.46</v>
      </c>
      <c r="BI87" s="44">
        <v>2149003.5084698945</v>
      </c>
      <c r="BJ87" s="44">
        <v>5625.6636347379435</v>
      </c>
      <c r="BK87" s="44">
        <v>5581.6164955000013</v>
      </c>
      <c r="BL87" s="45">
        <v>7.891466436910138E-3</v>
      </c>
      <c r="BM87" s="45">
        <v>0</v>
      </c>
      <c r="BN87" s="44">
        <v>0</v>
      </c>
      <c r="BO87" s="62">
        <v>2334946.7604698944</v>
      </c>
      <c r="BP87" s="62">
        <v>5987.5577185075772</v>
      </c>
      <c r="BQ87" s="62" t="s">
        <v>92</v>
      </c>
      <c r="BR87" s="62">
        <v>6112.4260745285192</v>
      </c>
      <c r="BS87" s="53">
        <v>1.1488451691346491E-2</v>
      </c>
      <c r="BT87" s="44">
        <v>-9576.74</v>
      </c>
      <c r="BU87" s="44">
        <v>2325370.0204698942</v>
      </c>
      <c r="BV87" s="44">
        <v>0</v>
      </c>
      <c r="BW87" s="44">
        <v>2325370.0204698942</v>
      </c>
      <c r="BX87" s="44">
        <v>47699.712</v>
      </c>
      <c r="BY87" s="44">
        <v>2277670.3084698943</v>
      </c>
    </row>
    <row r="88" spans="1:77">
      <c r="A88">
        <v>2441</v>
      </c>
      <c r="B88" s="60">
        <v>103368</v>
      </c>
      <c r="C88" s="60">
        <v>3302441</v>
      </c>
      <c r="D88" s="61" t="s">
        <v>700</v>
      </c>
      <c r="E88" s="52">
        <v>343</v>
      </c>
      <c r="F88" s="52">
        <v>343</v>
      </c>
      <c r="G88" s="52">
        <v>0</v>
      </c>
      <c r="H88" s="44">
        <v>1226054.3917999999</v>
      </c>
      <c r="I88" s="44">
        <v>0</v>
      </c>
      <c r="J88" s="44">
        <v>0</v>
      </c>
      <c r="K88" s="44">
        <v>96868.820299999978</v>
      </c>
      <c r="L88" s="44">
        <v>0</v>
      </c>
      <c r="M88" s="44">
        <v>167044.27460000012</v>
      </c>
      <c r="N88" s="44">
        <v>0</v>
      </c>
      <c r="O88" s="44">
        <v>2829.8976000000016</v>
      </c>
      <c r="P88" s="44">
        <v>4862.0050999999958</v>
      </c>
      <c r="Q88" s="44">
        <v>2679.3714000000014</v>
      </c>
      <c r="R88" s="44">
        <v>12167.557499999999</v>
      </c>
      <c r="S88" s="44">
        <v>103878.32759999998</v>
      </c>
      <c r="T88" s="44">
        <v>22518.764399999989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41012.963385667797</v>
      </c>
      <c r="AB88" s="44">
        <v>0</v>
      </c>
      <c r="AC88" s="44">
        <v>155267.35154123072</v>
      </c>
      <c r="AD88" s="44">
        <v>0</v>
      </c>
      <c r="AE88" s="44">
        <v>26415.594431999958</v>
      </c>
      <c r="AF88" s="44">
        <v>0</v>
      </c>
      <c r="AG88" s="44">
        <v>138243.54</v>
      </c>
      <c r="AH88" s="44">
        <v>0</v>
      </c>
      <c r="AI88" s="44">
        <v>0</v>
      </c>
      <c r="AJ88" s="44">
        <v>0</v>
      </c>
      <c r="AK88" s="44">
        <v>14333.984700000001</v>
      </c>
      <c r="AL88" s="44">
        <v>0</v>
      </c>
      <c r="AM88" s="44">
        <v>0</v>
      </c>
      <c r="AN88" s="44">
        <v>0</v>
      </c>
      <c r="AO88" s="44">
        <v>0</v>
      </c>
      <c r="AP88" s="44">
        <v>0</v>
      </c>
      <c r="AQ88" s="44">
        <v>0</v>
      </c>
      <c r="AR88" s="44">
        <v>0</v>
      </c>
      <c r="AS88" s="44">
        <v>0</v>
      </c>
      <c r="AT88" s="44">
        <v>1226054.3917999999</v>
      </c>
      <c r="AU88" s="44">
        <v>635544.92785889853</v>
      </c>
      <c r="AV88" s="44">
        <v>152577.52470000001</v>
      </c>
      <c r="AW88" s="44">
        <v>422994.5803812308</v>
      </c>
      <c r="AX88" s="62">
        <v>2014176.8443588982</v>
      </c>
      <c r="AY88" s="62">
        <v>1999842.8596588983</v>
      </c>
      <c r="AZ88" s="62">
        <v>4610</v>
      </c>
      <c r="BA88" s="62">
        <v>1581230</v>
      </c>
      <c r="BB88" s="62">
        <v>0</v>
      </c>
      <c r="BC88" s="62">
        <v>0</v>
      </c>
      <c r="BD88" s="62">
        <v>2014176.8443588982</v>
      </c>
      <c r="BE88" s="44">
        <v>2014176.8443588987</v>
      </c>
      <c r="BF88" s="44">
        <v>0</v>
      </c>
      <c r="BG88" s="62">
        <v>1595563.9846999999</v>
      </c>
      <c r="BH88" s="62">
        <v>1442986.46</v>
      </c>
      <c r="BI88" s="44">
        <v>1861599.3196588983</v>
      </c>
      <c r="BJ88" s="44">
        <v>5427.403264311657</v>
      </c>
      <c r="BK88" s="44">
        <v>5274.2000877192977</v>
      </c>
      <c r="BL88" s="45">
        <v>2.9047661075484229E-2</v>
      </c>
      <c r="BM88" s="45">
        <v>0</v>
      </c>
      <c r="BN88" s="44">
        <v>0</v>
      </c>
      <c r="BO88" s="62">
        <v>2014176.8443588982</v>
      </c>
      <c r="BP88" s="62">
        <v>5830.4456549822107</v>
      </c>
      <c r="BQ88" s="62" t="s">
        <v>92</v>
      </c>
      <c r="BR88" s="62">
        <v>5872.2356978393536</v>
      </c>
      <c r="BS88" s="53">
        <v>2.2448446713334569E-2</v>
      </c>
      <c r="BT88" s="44">
        <v>-8599.01</v>
      </c>
      <c r="BU88" s="44">
        <v>2005577.8343588982</v>
      </c>
      <c r="BV88" s="44">
        <v>0</v>
      </c>
      <c r="BW88" s="44">
        <v>2005577.8343588982</v>
      </c>
      <c r="BX88" s="44">
        <v>14333.984700000001</v>
      </c>
      <c r="BY88" s="44">
        <v>1991243.8496588983</v>
      </c>
    </row>
    <row r="89" spans="1:77">
      <c r="A89">
        <v>2445</v>
      </c>
      <c r="B89" s="60">
        <v>103372</v>
      </c>
      <c r="C89" s="60">
        <v>3302445</v>
      </c>
      <c r="D89" s="61" t="s">
        <v>569</v>
      </c>
      <c r="E89" s="52">
        <v>199</v>
      </c>
      <c r="F89" s="52">
        <v>199</v>
      </c>
      <c r="G89" s="52">
        <v>0</v>
      </c>
      <c r="H89" s="44">
        <v>711326.01740000001</v>
      </c>
      <c r="I89" s="44">
        <v>0</v>
      </c>
      <c r="J89" s="44">
        <v>0</v>
      </c>
      <c r="K89" s="44">
        <v>70807.665599999978</v>
      </c>
      <c r="L89" s="44">
        <v>0</v>
      </c>
      <c r="M89" s="44">
        <v>118494.46079999996</v>
      </c>
      <c r="N89" s="44">
        <v>0</v>
      </c>
      <c r="O89" s="44">
        <v>943.29919999999936</v>
      </c>
      <c r="P89" s="44">
        <v>1144.0011999999992</v>
      </c>
      <c r="Q89" s="44">
        <v>5805.3047000000051</v>
      </c>
      <c r="R89" s="44">
        <v>2920.2137999999977</v>
      </c>
      <c r="S89" s="44">
        <v>76487.524799999985</v>
      </c>
      <c r="T89" s="44">
        <v>7506.2547999999952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16158.460676571416</v>
      </c>
      <c r="AB89" s="44">
        <v>0</v>
      </c>
      <c r="AC89" s="44">
        <v>93478.761282015344</v>
      </c>
      <c r="AD89" s="44">
        <v>0</v>
      </c>
      <c r="AE89" s="44">
        <v>2947.910975999991</v>
      </c>
      <c r="AF89" s="44">
        <v>0</v>
      </c>
      <c r="AG89" s="44">
        <v>138243.54</v>
      </c>
      <c r="AH89" s="44">
        <v>0</v>
      </c>
      <c r="AI89" s="44">
        <v>0</v>
      </c>
      <c r="AJ89" s="44">
        <v>0</v>
      </c>
      <c r="AK89" s="44">
        <v>24535.640299999999</v>
      </c>
      <c r="AL89" s="44">
        <v>0</v>
      </c>
      <c r="AM89" s="44">
        <v>0</v>
      </c>
      <c r="AN89" s="44">
        <v>0</v>
      </c>
      <c r="AO89" s="44">
        <v>0</v>
      </c>
      <c r="AP89" s="44">
        <v>0</v>
      </c>
      <c r="AQ89" s="44">
        <v>0</v>
      </c>
      <c r="AR89" s="44">
        <v>0</v>
      </c>
      <c r="AS89" s="44">
        <v>0</v>
      </c>
      <c r="AT89" s="44">
        <v>711326.01740000001</v>
      </c>
      <c r="AU89" s="44">
        <v>396693.8578345867</v>
      </c>
      <c r="AV89" s="44">
        <v>162779.18030000001</v>
      </c>
      <c r="AW89" s="44">
        <v>271099.42460201529</v>
      </c>
      <c r="AX89" s="62">
        <v>1270799.0555345868</v>
      </c>
      <c r="AY89" s="62">
        <v>1246263.4152345867</v>
      </c>
      <c r="AZ89" s="62">
        <v>4610</v>
      </c>
      <c r="BA89" s="62">
        <v>917390</v>
      </c>
      <c r="BB89" s="62">
        <v>0</v>
      </c>
      <c r="BC89" s="62">
        <v>0</v>
      </c>
      <c r="BD89" s="62">
        <v>1270799.0555345868</v>
      </c>
      <c r="BE89" s="44">
        <v>1270799.0555345868</v>
      </c>
      <c r="BF89" s="44">
        <v>0</v>
      </c>
      <c r="BG89" s="62">
        <v>941925.64029999997</v>
      </c>
      <c r="BH89" s="62">
        <v>779146.46</v>
      </c>
      <c r="BI89" s="44">
        <v>1108019.8752345867</v>
      </c>
      <c r="BJ89" s="44">
        <v>5567.9390715305863</v>
      </c>
      <c r="BK89" s="44">
        <v>5560.8309131979704</v>
      </c>
      <c r="BL89" s="45">
        <v>1.2782547147307591E-3</v>
      </c>
      <c r="BM89" s="45">
        <v>3.7217452852692408E-3</v>
      </c>
      <c r="BN89" s="44">
        <v>4118.5032504414248</v>
      </c>
      <c r="BO89" s="62">
        <v>1274917.5587850283</v>
      </c>
      <c r="BP89" s="62">
        <v>6283.3262235428556</v>
      </c>
      <c r="BQ89" s="62" t="s">
        <v>92</v>
      </c>
      <c r="BR89" s="62">
        <v>6406.6208984172272</v>
      </c>
      <c r="BS89" s="53">
        <v>1.1590325713620064E-2</v>
      </c>
      <c r="BT89" s="44">
        <v>-4988.93</v>
      </c>
      <c r="BU89" s="44">
        <v>1269928.6287850284</v>
      </c>
      <c r="BV89" s="44">
        <v>0</v>
      </c>
      <c r="BW89" s="44">
        <v>1269928.6287850284</v>
      </c>
      <c r="BX89" s="44">
        <v>24535.640299999999</v>
      </c>
      <c r="BY89" s="44">
        <v>1245392.9884850283</v>
      </c>
    </row>
    <row r="90" spans="1:77">
      <c r="A90">
        <v>2454</v>
      </c>
      <c r="B90" s="60">
        <v>103381</v>
      </c>
      <c r="C90" s="60">
        <v>3302454</v>
      </c>
      <c r="D90" s="61" t="s">
        <v>455</v>
      </c>
      <c r="E90" s="52">
        <v>366</v>
      </c>
      <c r="F90" s="52">
        <v>366</v>
      </c>
      <c r="G90" s="52">
        <v>0</v>
      </c>
      <c r="H90" s="44">
        <v>1308267.9516</v>
      </c>
      <c r="I90" s="44">
        <v>0</v>
      </c>
      <c r="J90" s="44">
        <v>0</v>
      </c>
      <c r="K90" s="44">
        <v>110145.25759999994</v>
      </c>
      <c r="L90" s="44">
        <v>0</v>
      </c>
      <c r="M90" s="44">
        <v>186793.3514000001</v>
      </c>
      <c r="N90" s="44">
        <v>0</v>
      </c>
      <c r="O90" s="44">
        <v>3301.5472000000018</v>
      </c>
      <c r="P90" s="44">
        <v>9724.0102000000006</v>
      </c>
      <c r="Q90" s="44">
        <v>5805.3046999999979</v>
      </c>
      <c r="R90" s="44">
        <v>29202.137999999959</v>
      </c>
      <c r="S90" s="44">
        <v>54781.605600000032</v>
      </c>
      <c r="T90" s="44">
        <v>70968.227200000038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0</v>
      </c>
      <c r="AA90" s="44">
        <v>51396.308511538431</v>
      </c>
      <c r="AB90" s="44">
        <v>0</v>
      </c>
      <c r="AC90" s="44">
        <v>173657.58093881124</v>
      </c>
      <c r="AD90" s="44">
        <v>0</v>
      </c>
      <c r="AE90" s="44">
        <v>12562.339583999983</v>
      </c>
      <c r="AF90" s="44">
        <v>0</v>
      </c>
      <c r="AG90" s="44">
        <v>138243.54</v>
      </c>
      <c r="AH90" s="44">
        <v>0</v>
      </c>
      <c r="AI90" s="44">
        <v>0</v>
      </c>
      <c r="AJ90" s="44">
        <v>0</v>
      </c>
      <c r="AK90" s="44">
        <v>30475.856299999999</v>
      </c>
      <c r="AL90" s="44">
        <v>0</v>
      </c>
      <c r="AM90" s="44">
        <v>0</v>
      </c>
      <c r="AN90" s="44">
        <v>0</v>
      </c>
      <c r="AO90" s="44">
        <v>0</v>
      </c>
      <c r="AP90" s="44">
        <v>0</v>
      </c>
      <c r="AQ90" s="44">
        <v>0</v>
      </c>
      <c r="AR90" s="44">
        <v>0</v>
      </c>
      <c r="AS90" s="44">
        <v>0</v>
      </c>
      <c r="AT90" s="44">
        <v>1308267.9516</v>
      </c>
      <c r="AU90" s="44">
        <v>708337.67093434976</v>
      </c>
      <c r="AV90" s="44">
        <v>168719.39630000002</v>
      </c>
      <c r="AW90" s="44">
        <v>474431.69946881133</v>
      </c>
      <c r="AX90" s="62">
        <v>2185325.0188343497</v>
      </c>
      <c r="AY90" s="62">
        <v>2154849.1625343496</v>
      </c>
      <c r="AZ90" s="62">
        <v>4610</v>
      </c>
      <c r="BA90" s="62">
        <v>1687260</v>
      </c>
      <c r="BB90" s="62">
        <v>0</v>
      </c>
      <c r="BC90" s="62">
        <v>0</v>
      </c>
      <c r="BD90" s="62">
        <v>2185325.0188343497</v>
      </c>
      <c r="BE90" s="44">
        <v>2185325.0188343497</v>
      </c>
      <c r="BF90" s="44">
        <v>0</v>
      </c>
      <c r="BG90" s="62">
        <v>1717735.8563000001</v>
      </c>
      <c r="BH90" s="62">
        <v>1549016.46</v>
      </c>
      <c r="BI90" s="44">
        <v>2016605.6225343496</v>
      </c>
      <c r="BJ90" s="44">
        <v>5509.8514276894794</v>
      </c>
      <c r="BK90" s="44">
        <v>5393.8740512820514</v>
      </c>
      <c r="BL90" s="45">
        <v>2.1501684189281677E-2</v>
      </c>
      <c r="BM90" s="45">
        <v>0</v>
      </c>
      <c r="BN90" s="44">
        <v>0</v>
      </c>
      <c r="BO90" s="62">
        <v>2185325.0188343497</v>
      </c>
      <c r="BP90" s="62">
        <v>5887.5660178534145</v>
      </c>
      <c r="BQ90" s="62" t="s">
        <v>92</v>
      </c>
      <c r="BR90" s="62">
        <v>5970.8333847933054</v>
      </c>
      <c r="BS90" s="53">
        <v>1.967980042560824E-2</v>
      </c>
      <c r="BT90" s="44">
        <v>-9175.6200000000008</v>
      </c>
      <c r="BU90" s="44">
        <v>2176149.3988343496</v>
      </c>
      <c r="BV90" s="44">
        <v>0</v>
      </c>
      <c r="BW90" s="44">
        <v>2176149.3988343496</v>
      </c>
      <c r="BX90" s="44">
        <v>30475.856299999999</v>
      </c>
      <c r="BY90" s="44">
        <v>2145673.5425343495</v>
      </c>
    </row>
    <row r="91" spans="1:77">
      <c r="A91">
        <v>2456</v>
      </c>
      <c r="B91" s="60">
        <v>103383</v>
      </c>
      <c r="C91" s="60">
        <v>3302456</v>
      </c>
      <c r="D91" s="61" t="s">
        <v>602</v>
      </c>
      <c r="E91" s="52">
        <v>200</v>
      </c>
      <c r="F91" s="52">
        <v>200</v>
      </c>
      <c r="G91" s="52">
        <v>0</v>
      </c>
      <c r="H91" s="44">
        <v>714900.52</v>
      </c>
      <c r="I91" s="44">
        <v>0</v>
      </c>
      <c r="J91" s="44">
        <v>0</v>
      </c>
      <c r="K91" s="44">
        <v>39337.591999999997</v>
      </c>
      <c r="L91" s="44">
        <v>0</v>
      </c>
      <c r="M91" s="44">
        <v>65830.255999999994</v>
      </c>
      <c r="N91" s="44">
        <v>0</v>
      </c>
      <c r="O91" s="44">
        <v>4244.8464000000004</v>
      </c>
      <c r="P91" s="44">
        <v>2860.0029999999997</v>
      </c>
      <c r="Q91" s="44">
        <v>446.56189999999998</v>
      </c>
      <c r="R91" s="44">
        <v>2920.2138</v>
      </c>
      <c r="S91" s="44">
        <v>5684.8836000000001</v>
      </c>
      <c r="T91" s="44">
        <v>76427.32160000001</v>
      </c>
      <c r="U91" s="44">
        <v>0</v>
      </c>
      <c r="V91" s="44">
        <v>0</v>
      </c>
      <c r="W91" s="44">
        <v>0</v>
      </c>
      <c r="X91" s="44">
        <v>0</v>
      </c>
      <c r="Y91" s="44">
        <v>0</v>
      </c>
      <c r="Z91" s="44">
        <v>0</v>
      </c>
      <c r="AA91" s="44">
        <v>15324.18799999996</v>
      </c>
      <c r="AB91" s="44">
        <v>0</v>
      </c>
      <c r="AC91" s="44">
        <v>79271.727305986642</v>
      </c>
      <c r="AD91" s="44">
        <v>0</v>
      </c>
      <c r="AE91" s="44">
        <v>4816.8480000000018</v>
      </c>
      <c r="AF91" s="44">
        <v>0</v>
      </c>
      <c r="AG91" s="44">
        <v>138243.54</v>
      </c>
      <c r="AH91" s="44">
        <v>0</v>
      </c>
      <c r="AI91" s="44">
        <v>0</v>
      </c>
      <c r="AJ91" s="44">
        <v>0</v>
      </c>
      <c r="AK91" s="44">
        <v>43724.735999999997</v>
      </c>
      <c r="AL91" s="44">
        <v>0</v>
      </c>
      <c r="AM91" s="44">
        <v>0</v>
      </c>
      <c r="AN91" s="44">
        <v>0</v>
      </c>
      <c r="AO91" s="44">
        <v>0</v>
      </c>
      <c r="AP91" s="44">
        <v>0</v>
      </c>
      <c r="AQ91" s="44">
        <v>0</v>
      </c>
      <c r="AR91" s="44">
        <v>0</v>
      </c>
      <c r="AS91" s="44">
        <v>0</v>
      </c>
      <c r="AT91" s="44">
        <v>714900.52</v>
      </c>
      <c r="AU91" s="44">
        <v>297164.44160598662</v>
      </c>
      <c r="AV91" s="44">
        <v>181968.27600000001</v>
      </c>
      <c r="AW91" s="44">
        <v>213892.59245598665</v>
      </c>
      <c r="AX91" s="62">
        <v>1194033.2376059867</v>
      </c>
      <c r="AY91" s="62">
        <v>1150308.5016059866</v>
      </c>
      <c r="AZ91" s="62">
        <v>4610</v>
      </c>
      <c r="BA91" s="62">
        <v>922000</v>
      </c>
      <c r="BB91" s="62">
        <v>0</v>
      </c>
      <c r="BC91" s="62">
        <v>0</v>
      </c>
      <c r="BD91" s="62">
        <v>1194033.2376059867</v>
      </c>
      <c r="BE91" s="44">
        <v>1194033.2376059867</v>
      </c>
      <c r="BF91" s="44">
        <v>0</v>
      </c>
      <c r="BG91" s="62">
        <v>965724.73600000003</v>
      </c>
      <c r="BH91" s="62">
        <v>783756.46</v>
      </c>
      <c r="BI91" s="44">
        <v>1012064.9616059866</v>
      </c>
      <c r="BJ91" s="44">
        <v>5060.3248080299327</v>
      </c>
      <c r="BK91" s="44">
        <v>5325.2171884999998</v>
      </c>
      <c r="BL91" s="45">
        <v>-4.9743019128329985E-2</v>
      </c>
      <c r="BM91" s="45">
        <v>5.4743019128329982E-2</v>
      </c>
      <c r="BN91" s="44">
        <v>58303.693282513414</v>
      </c>
      <c r="BO91" s="62">
        <v>1252336.9308885001</v>
      </c>
      <c r="BP91" s="62">
        <v>6043.0609744425001</v>
      </c>
      <c r="BQ91" s="62" t="s">
        <v>92</v>
      </c>
      <c r="BR91" s="62">
        <v>6261.6846544425007</v>
      </c>
      <c r="BS91" s="53">
        <v>1.5785655663009379E-2</v>
      </c>
      <c r="BT91" s="44">
        <v>-5014</v>
      </c>
      <c r="BU91" s="44">
        <v>1247322.9308885001</v>
      </c>
      <c r="BV91" s="44">
        <v>0</v>
      </c>
      <c r="BW91" s="44">
        <v>1247322.9308885001</v>
      </c>
      <c r="BX91" s="44">
        <v>43724.735999999997</v>
      </c>
      <c r="BY91" s="44">
        <v>1203598.1948885</v>
      </c>
    </row>
    <row r="92" spans="1:77">
      <c r="A92">
        <v>2457</v>
      </c>
      <c r="B92" s="60">
        <v>103384</v>
      </c>
      <c r="C92" s="60">
        <v>3302457</v>
      </c>
      <c r="D92" s="61" t="s">
        <v>721</v>
      </c>
      <c r="E92" s="52">
        <v>412</v>
      </c>
      <c r="F92" s="52">
        <v>412</v>
      </c>
      <c r="G92" s="52">
        <v>0</v>
      </c>
      <c r="H92" s="44">
        <v>1472695.0711999999</v>
      </c>
      <c r="I92" s="44">
        <v>0</v>
      </c>
      <c r="J92" s="44">
        <v>0</v>
      </c>
      <c r="K92" s="44">
        <v>79658.623800000089</v>
      </c>
      <c r="L92" s="44">
        <v>0</v>
      </c>
      <c r="M92" s="44">
        <v>141535.05040000007</v>
      </c>
      <c r="N92" s="44">
        <v>0</v>
      </c>
      <c r="O92" s="44">
        <v>5188.1456000000017</v>
      </c>
      <c r="P92" s="44">
        <v>6292.0066000000015</v>
      </c>
      <c r="Q92" s="44">
        <v>23221.218800000057</v>
      </c>
      <c r="R92" s="44">
        <v>87119.711700000058</v>
      </c>
      <c r="S92" s="44">
        <v>40310.992800000095</v>
      </c>
      <c r="T92" s="44">
        <v>24565.924799999993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95243.585115730297</v>
      </c>
      <c r="AB92" s="44">
        <v>0</v>
      </c>
      <c r="AC92" s="44">
        <v>178801.24433783209</v>
      </c>
      <c r="AD92" s="44">
        <v>0</v>
      </c>
      <c r="AE92" s="44">
        <v>0</v>
      </c>
      <c r="AF92" s="44">
        <v>0</v>
      </c>
      <c r="AG92" s="44">
        <v>138243.54</v>
      </c>
      <c r="AH92" s="44">
        <v>0</v>
      </c>
      <c r="AI92" s="44">
        <v>0</v>
      </c>
      <c r="AJ92" s="44">
        <v>0</v>
      </c>
      <c r="AK92" s="44">
        <v>31799.808000000001</v>
      </c>
      <c r="AL92" s="44">
        <v>0</v>
      </c>
      <c r="AM92" s="44">
        <v>0</v>
      </c>
      <c r="AN92" s="44">
        <v>0</v>
      </c>
      <c r="AO92" s="44">
        <v>0</v>
      </c>
      <c r="AP92" s="44">
        <v>0</v>
      </c>
      <c r="AQ92" s="44">
        <v>0</v>
      </c>
      <c r="AR92" s="44">
        <v>0</v>
      </c>
      <c r="AS92" s="44">
        <v>0</v>
      </c>
      <c r="AT92" s="44">
        <v>1472695.0711999999</v>
      </c>
      <c r="AU92" s="44">
        <v>681936.50395356282</v>
      </c>
      <c r="AV92" s="44">
        <v>170043.348</v>
      </c>
      <c r="AW92" s="44">
        <v>456381.83514783229</v>
      </c>
      <c r="AX92" s="62">
        <v>2324674.9231535625</v>
      </c>
      <c r="AY92" s="62">
        <v>2292875.1151535623</v>
      </c>
      <c r="AZ92" s="62">
        <v>4610</v>
      </c>
      <c r="BA92" s="62">
        <v>1899320</v>
      </c>
      <c r="BB92" s="62">
        <v>0</v>
      </c>
      <c r="BC92" s="62">
        <v>0</v>
      </c>
      <c r="BD92" s="62">
        <v>2324674.9231535625</v>
      </c>
      <c r="BE92" s="44">
        <v>2324674.9231535625</v>
      </c>
      <c r="BF92" s="44">
        <v>0</v>
      </c>
      <c r="BG92" s="62">
        <v>1931119.808</v>
      </c>
      <c r="BH92" s="62">
        <v>1761076.46</v>
      </c>
      <c r="BI92" s="44">
        <v>2154631.5751535622</v>
      </c>
      <c r="BJ92" s="44">
        <v>5229.6882892076756</v>
      </c>
      <c r="BK92" s="44">
        <v>5148.0113570048306</v>
      </c>
      <c r="BL92" s="45">
        <v>1.5865724944780512E-2</v>
      </c>
      <c r="BM92" s="45">
        <v>0</v>
      </c>
      <c r="BN92" s="44">
        <v>0</v>
      </c>
      <c r="BO92" s="62">
        <v>2324674.9231535625</v>
      </c>
      <c r="BP92" s="62">
        <v>5565.2308620232097</v>
      </c>
      <c r="BQ92" s="62" t="s">
        <v>92</v>
      </c>
      <c r="BR92" s="62">
        <v>5642.4148620232099</v>
      </c>
      <c r="BS92" s="53">
        <v>1.0375695237365257E-2</v>
      </c>
      <c r="BT92" s="44">
        <v>-10328.84</v>
      </c>
      <c r="BU92" s="44">
        <v>2314346.0831535626</v>
      </c>
      <c r="BV92" s="44">
        <v>0</v>
      </c>
      <c r="BW92" s="44">
        <v>2314346.0831535626</v>
      </c>
      <c r="BX92" s="44">
        <v>31799.808000000001</v>
      </c>
      <c r="BY92" s="44">
        <v>2282546.2751535624</v>
      </c>
    </row>
    <row r="93" spans="1:77">
      <c r="A93">
        <v>2462</v>
      </c>
      <c r="B93" s="60">
        <v>103388</v>
      </c>
      <c r="C93" s="60">
        <v>3302462</v>
      </c>
      <c r="D93" s="61" t="s">
        <v>315</v>
      </c>
      <c r="E93" s="52">
        <v>422</v>
      </c>
      <c r="F93" s="52">
        <v>422</v>
      </c>
      <c r="G93" s="52">
        <v>0</v>
      </c>
      <c r="H93" s="44">
        <v>1508440.0972</v>
      </c>
      <c r="I93" s="44">
        <v>0</v>
      </c>
      <c r="J93" s="44">
        <v>0</v>
      </c>
      <c r="K93" s="44">
        <v>16226.756699999993</v>
      </c>
      <c r="L93" s="44">
        <v>0</v>
      </c>
      <c r="M93" s="44">
        <v>28800.736999999994</v>
      </c>
      <c r="N93" s="44">
        <v>0</v>
      </c>
      <c r="O93" s="44">
        <v>5423.9703999999956</v>
      </c>
      <c r="P93" s="44">
        <v>0</v>
      </c>
      <c r="Q93" s="44">
        <v>0</v>
      </c>
      <c r="R93" s="44">
        <v>486.70230000000043</v>
      </c>
      <c r="S93" s="44">
        <v>516.80760000000043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15874.69656187844</v>
      </c>
      <c r="AB93" s="44">
        <v>0</v>
      </c>
      <c r="AC93" s="44">
        <v>69865.429240254263</v>
      </c>
      <c r="AD93" s="44">
        <v>0</v>
      </c>
      <c r="AE93" s="44">
        <v>0</v>
      </c>
      <c r="AF93" s="44">
        <v>0</v>
      </c>
      <c r="AG93" s="44">
        <v>138243.54</v>
      </c>
      <c r="AH93" s="44">
        <v>0</v>
      </c>
      <c r="AI93" s="44">
        <v>0</v>
      </c>
      <c r="AJ93" s="44">
        <v>0</v>
      </c>
      <c r="AK93" s="44">
        <v>54589.670400000003</v>
      </c>
      <c r="AL93" s="44">
        <v>0</v>
      </c>
      <c r="AM93" s="44">
        <v>0</v>
      </c>
      <c r="AN93" s="44">
        <v>0</v>
      </c>
      <c r="AO93" s="44">
        <v>0</v>
      </c>
      <c r="AP93" s="44">
        <v>0</v>
      </c>
      <c r="AQ93" s="44">
        <v>0</v>
      </c>
      <c r="AR93" s="44">
        <v>0</v>
      </c>
      <c r="AS93" s="44">
        <v>0</v>
      </c>
      <c r="AT93" s="44">
        <v>1508440.0972</v>
      </c>
      <c r="AU93" s="44">
        <v>137195.0998021327</v>
      </c>
      <c r="AV93" s="44">
        <v>192833.21040000001</v>
      </c>
      <c r="AW93" s="44">
        <v>171014.92110025426</v>
      </c>
      <c r="AX93" s="62">
        <v>1838468.4074021326</v>
      </c>
      <c r="AY93" s="62">
        <v>1783878.7370021327</v>
      </c>
      <c r="AZ93" s="62">
        <v>4610</v>
      </c>
      <c r="BA93" s="62">
        <v>1945420</v>
      </c>
      <c r="BB93" s="62">
        <v>161541.26299786731</v>
      </c>
      <c r="BC93" s="62">
        <v>0</v>
      </c>
      <c r="BD93" s="62">
        <v>2000009.6703999999</v>
      </c>
      <c r="BE93" s="44">
        <v>2000009.6703999999</v>
      </c>
      <c r="BF93" s="44">
        <v>0</v>
      </c>
      <c r="BG93" s="62">
        <v>2000009.6703999999</v>
      </c>
      <c r="BH93" s="62">
        <v>1807176.46</v>
      </c>
      <c r="BI93" s="44">
        <v>1807176.46</v>
      </c>
      <c r="BJ93" s="44">
        <v>4282.4086729857818</v>
      </c>
      <c r="BK93" s="44">
        <v>4215.9422540284359</v>
      </c>
      <c r="BL93" s="45">
        <v>1.5765495576661574E-2</v>
      </c>
      <c r="BM93" s="45">
        <v>0</v>
      </c>
      <c r="BN93" s="44">
        <v>0</v>
      </c>
      <c r="BO93" s="62">
        <v>2000009.6703999999</v>
      </c>
      <c r="BP93" s="62">
        <v>4610</v>
      </c>
      <c r="BQ93" s="62" t="s">
        <v>92</v>
      </c>
      <c r="BR93" s="62">
        <v>4739.3594085308059</v>
      </c>
      <c r="BS93" s="53">
        <v>2.657001828785388E-2</v>
      </c>
      <c r="BT93" s="44">
        <v>-10579.54</v>
      </c>
      <c r="BU93" s="44">
        <v>1989430.1303999999</v>
      </c>
      <c r="BV93" s="44">
        <v>0</v>
      </c>
      <c r="BW93" s="44">
        <v>1989430.1303999999</v>
      </c>
      <c r="BX93" s="44">
        <v>54589.670400000003</v>
      </c>
      <c r="BY93" s="44">
        <v>1934840.46</v>
      </c>
    </row>
    <row r="94" spans="1:77">
      <c r="A94">
        <v>2464</v>
      </c>
      <c r="B94" s="60">
        <v>103390</v>
      </c>
      <c r="C94" s="60">
        <v>3302464</v>
      </c>
      <c r="D94" s="61" t="s">
        <v>449</v>
      </c>
      <c r="E94" s="52">
        <v>417</v>
      </c>
      <c r="F94" s="52">
        <v>417</v>
      </c>
      <c r="G94" s="52">
        <v>0</v>
      </c>
      <c r="H94" s="44">
        <v>1490567.5841999999</v>
      </c>
      <c r="I94" s="44">
        <v>0</v>
      </c>
      <c r="J94" s="44">
        <v>0</v>
      </c>
      <c r="K94" s="44">
        <v>12784.71739999999</v>
      </c>
      <c r="L94" s="44">
        <v>0</v>
      </c>
      <c r="M94" s="44">
        <v>22217.711399999993</v>
      </c>
      <c r="N94" s="44">
        <v>0</v>
      </c>
      <c r="O94" s="44">
        <v>4716.4959999999955</v>
      </c>
      <c r="P94" s="44">
        <v>858.00090000000034</v>
      </c>
      <c r="Q94" s="44">
        <v>0</v>
      </c>
      <c r="R94" s="44">
        <v>5353.7252999999992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13640.528469613262</v>
      </c>
      <c r="AB94" s="44">
        <v>0</v>
      </c>
      <c r="AC94" s="44">
        <v>85665.314042646482</v>
      </c>
      <c r="AD94" s="44">
        <v>0</v>
      </c>
      <c r="AE94" s="44">
        <v>0</v>
      </c>
      <c r="AF94" s="44">
        <v>0</v>
      </c>
      <c r="AG94" s="44">
        <v>138243.54</v>
      </c>
      <c r="AH94" s="44">
        <v>0</v>
      </c>
      <c r="AI94" s="44">
        <v>0</v>
      </c>
      <c r="AJ94" s="44">
        <v>0</v>
      </c>
      <c r="AK94" s="44">
        <v>32064.806400000001</v>
      </c>
      <c r="AL94" s="44">
        <v>0</v>
      </c>
      <c r="AM94" s="44">
        <v>0</v>
      </c>
      <c r="AN94" s="44">
        <v>0</v>
      </c>
      <c r="AO94" s="44">
        <v>0</v>
      </c>
      <c r="AP94" s="44">
        <v>0</v>
      </c>
      <c r="AQ94" s="44">
        <v>0</v>
      </c>
      <c r="AR94" s="44">
        <v>0</v>
      </c>
      <c r="AS94" s="44">
        <v>0</v>
      </c>
      <c r="AT94" s="44">
        <v>1490567.5841999999</v>
      </c>
      <c r="AU94" s="44">
        <v>145236.49351225974</v>
      </c>
      <c r="AV94" s="44">
        <v>170308.34640000001</v>
      </c>
      <c r="AW94" s="44">
        <v>183159.01875264646</v>
      </c>
      <c r="AX94" s="62">
        <v>1806112.4241122596</v>
      </c>
      <c r="AY94" s="62">
        <v>1774047.6177122598</v>
      </c>
      <c r="AZ94" s="62">
        <v>4610</v>
      </c>
      <c r="BA94" s="62">
        <v>1922370</v>
      </c>
      <c r="BB94" s="62">
        <v>148322.38228774024</v>
      </c>
      <c r="BC94" s="62">
        <v>0</v>
      </c>
      <c r="BD94" s="62">
        <v>1954434.8063999999</v>
      </c>
      <c r="BE94" s="44">
        <v>1954434.8063999999</v>
      </c>
      <c r="BF94" s="44">
        <v>0</v>
      </c>
      <c r="BG94" s="62">
        <v>1954434.8064000001</v>
      </c>
      <c r="BH94" s="62">
        <v>1784126.46</v>
      </c>
      <c r="BI94" s="44">
        <v>1784126.46</v>
      </c>
      <c r="BJ94" s="44">
        <v>4278.4807194244604</v>
      </c>
      <c r="BK94" s="44">
        <v>4207.9652028985511</v>
      </c>
      <c r="BL94" s="45">
        <v>1.6757628242110103E-2</v>
      </c>
      <c r="BM94" s="45">
        <v>0</v>
      </c>
      <c r="BN94" s="44">
        <v>0</v>
      </c>
      <c r="BO94" s="62">
        <v>1954434.8063999999</v>
      </c>
      <c r="BP94" s="62">
        <v>4610</v>
      </c>
      <c r="BQ94" s="62" t="s">
        <v>92</v>
      </c>
      <c r="BR94" s="62">
        <v>4686.8940201438845</v>
      </c>
      <c r="BS94" s="53">
        <v>3.6379050649724132E-3</v>
      </c>
      <c r="BT94" s="44">
        <v>-10454.19</v>
      </c>
      <c r="BU94" s="44">
        <v>1943980.6163999999</v>
      </c>
      <c r="BV94" s="44">
        <v>0</v>
      </c>
      <c r="BW94" s="44">
        <v>1943980.6163999999</v>
      </c>
      <c r="BX94" s="44">
        <v>32064.806400000001</v>
      </c>
      <c r="BY94" s="44">
        <v>1911915.81</v>
      </c>
    </row>
    <row r="95" spans="1:77">
      <c r="A95">
        <v>2465</v>
      </c>
      <c r="B95" s="60">
        <v>103391</v>
      </c>
      <c r="C95" s="60">
        <v>3302465</v>
      </c>
      <c r="D95" s="61" t="s">
        <v>434</v>
      </c>
      <c r="E95" s="52">
        <v>421</v>
      </c>
      <c r="F95" s="52">
        <v>421</v>
      </c>
      <c r="G95" s="52">
        <v>0</v>
      </c>
      <c r="H95" s="44">
        <v>1504865.5946</v>
      </c>
      <c r="I95" s="44">
        <v>0</v>
      </c>
      <c r="J95" s="44">
        <v>0</v>
      </c>
      <c r="K95" s="44">
        <v>60973.267600000057</v>
      </c>
      <c r="L95" s="44">
        <v>0</v>
      </c>
      <c r="M95" s="44">
        <v>104505.53140000005</v>
      </c>
      <c r="N95" s="44">
        <v>0</v>
      </c>
      <c r="O95" s="44">
        <v>33958.771200000003</v>
      </c>
      <c r="P95" s="44">
        <v>4862.0050999999949</v>
      </c>
      <c r="Q95" s="44">
        <v>1786.2476000000004</v>
      </c>
      <c r="R95" s="44">
        <v>2433.511500000006</v>
      </c>
      <c r="S95" s="44">
        <v>2584.0380000000064</v>
      </c>
      <c r="T95" s="44">
        <v>682.38679999999874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37493.425739832841</v>
      </c>
      <c r="AB95" s="44">
        <v>0</v>
      </c>
      <c r="AC95" s="44">
        <v>158703.42364202999</v>
      </c>
      <c r="AD95" s="44">
        <v>0</v>
      </c>
      <c r="AE95" s="44">
        <v>0</v>
      </c>
      <c r="AF95" s="44">
        <v>0</v>
      </c>
      <c r="AG95" s="44">
        <v>138243.54</v>
      </c>
      <c r="AH95" s="44">
        <v>0</v>
      </c>
      <c r="AI95" s="44">
        <v>0</v>
      </c>
      <c r="AJ95" s="44">
        <v>0</v>
      </c>
      <c r="AK95" s="44">
        <v>46033.171999999999</v>
      </c>
      <c r="AL95" s="44">
        <v>452776.3</v>
      </c>
      <c r="AM95" s="44">
        <v>0</v>
      </c>
      <c r="AN95" s="44">
        <v>0</v>
      </c>
      <c r="AO95" s="44">
        <v>0</v>
      </c>
      <c r="AP95" s="44">
        <v>0</v>
      </c>
      <c r="AQ95" s="44">
        <v>0</v>
      </c>
      <c r="AR95" s="44">
        <v>0</v>
      </c>
      <c r="AS95" s="44">
        <v>0</v>
      </c>
      <c r="AT95" s="44">
        <v>1504865.5946</v>
      </c>
      <c r="AU95" s="44">
        <v>407982.60858186299</v>
      </c>
      <c r="AV95" s="44">
        <v>637053.01199999999</v>
      </c>
      <c r="AW95" s="44">
        <v>339839.58297203004</v>
      </c>
      <c r="AX95" s="62">
        <v>2549901.2151818629</v>
      </c>
      <c r="AY95" s="62">
        <v>2051091.7431818631</v>
      </c>
      <c r="AZ95" s="62">
        <v>4610</v>
      </c>
      <c r="BA95" s="62">
        <v>1940810</v>
      </c>
      <c r="BB95" s="62">
        <v>0</v>
      </c>
      <c r="BC95" s="62">
        <v>0</v>
      </c>
      <c r="BD95" s="62">
        <v>2549901.2151818629</v>
      </c>
      <c r="BE95" s="44">
        <v>2549901.2151818629</v>
      </c>
      <c r="BF95" s="44">
        <v>0</v>
      </c>
      <c r="BG95" s="62">
        <v>2439619.4720000001</v>
      </c>
      <c r="BH95" s="62">
        <v>2255342.7600000002</v>
      </c>
      <c r="BI95" s="44">
        <v>2365624.5031818631</v>
      </c>
      <c r="BJ95" s="44">
        <v>5619.0605776291286</v>
      </c>
      <c r="BK95" s="44">
        <v>5377.9010031100479</v>
      </c>
      <c r="BL95" s="45">
        <v>4.4842695017929445E-2</v>
      </c>
      <c r="BM95" s="45">
        <v>0</v>
      </c>
      <c r="BN95" s="44">
        <v>0</v>
      </c>
      <c r="BO95" s="62">
        <v>2549901.2151818629</v>
      </c>
      <c r="BP95" s="62">
        <v>4871.9518840424298</v>
      </c>
      <c r="BQ95" s="62" t="s">
        <v>92</v>
      </c>
      <c r="BR95" s="62">
        <v>6056.7724826172516</v>
      </c>
      <c r="BS95" s="53">
        <v>4.7322262710679741E-2</v>
      </c>
      <c r="BT95" s="44">
        <v>-10554.47</v>
      </c>
      <c r="BU95" s="44">
        <v>2539346.7451818627</v>
      </c>
      <c r="BV95" s="44">
        <v>0</v>
      </c>
      <c r="BW95" s="44">
        <v>2539346.7451818627</v>
      </c>
      <c r="BX95" s="44">
        <v>46033.171999999999</v>
      </c>
      <c r="BY95" s="44">
        <v>2493313.5731818629</v>
      </c>
    </row>
    <row r="96" spans="1:77">
      <c r="A96">
        <v>2466</v>
      </c>
      <c r="B96" s="60">
        <v>103392</v>
      </c>
      <c r="C96" s="60">
        <v>3302466</v>
      </c>
      <c r="D96" s="61" t="s">
        <v>653</v>
      </c>
      <c r="E96" s="52">
        <v>600</v>
      </c>
      <c r="F96" s="52">
        <v>600</v>
      </c>
      <c r="G96" s="52">
        <v>0</v>
      </c>
      <c r="H96" s="44">
        <v>2144701.56</v>
      </c>
      <c r="I96" s="44">
        <v>0</v>
      </c>
      <c r="J96" s="44">
        <v>0</v>
      </c>
      <c r="K96" s="44">
        <v>134731.25260000012</v>
      </c>
      <c r="L96" s="44">
        <v>0</v>
      </c>
      <c r="M96" s="44">
        <v>231228.77419999981</v>
      </c>
      <c r="N96" s="44">
        <v>0</v>
      </c>
      <c r="O96" s="44">
        <v>3301.5471999999954</v>
      </c>
      <c r="P96" s="44">
        <v>8866.0093000000052</v>
      </c>
      <c r="Q96" s="44">
        <v>74575.837299999912</v>
      </c>
      <c r="R96" s="44">
        <v>107561.2082999999</v>
      </c>
      <c r="S96" s="44">
        <v>73386.679200000101</v>
      </c>
      <c r="T96" s="44">
        <v>12282.9624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113433.08638623345</v>
      </c>
      <c r="AB96" s="44">
        <v>0</v>
      </c>
      <c r="AC96" s="44">
        <v>237169.45141588448</v>
      </c>
      <c r="AD96" s="44">
        <v>0</v>
      </c>
      <c r="AE96" s="44">
        <v>0</v>
      </c>
      <c r="AF96" s="44">
        <v>0</v>
      </c>
      <c r="AG96" s="44">
        <v>138243.54</v>
      </c>
      <c r="AH96" s="44">
        <v>0</v>
      </c>
      <c r="AI96" s="44">
        <v>0</v>
      </c>
      <c r="AJ96" s="44">
        <v>55235.7</v>
      </c>
      <c r="AK96" s="44">
        <v>30739.814399999999</v>
      </c>
      <c r="AL96" s="44">
        <v>0</v>
      </c>
      <c r="AM96" s="44">
        <v>0</v>
      </c>
      <c r="AN96" s="44">
        <v>0</v>
      </c>
      <c r="AO96" s="44">
        <v>0</v>
      </c>
      <c r="AP96" s="44">
        <v>0</v>
      </c>
      <c r="AQ96" s="44">
        <v>0</v>
      </c>
      <c r="AR96" s="44">
        <v>0</v>
      </c>
      <c r="AS96" s="44">
        <v>0</v>
      </c>
      <c r="AT96" s="44">
        <v>2144701.56</v>
      </c>
      <c r="AU96" s="44">
        <v>996536.80830211774</v>
      </c>
      <c r="AV96" s="44">
        <v>224219.05439999999</v>
      </c>
      <c r="AW96" s="44">
        <v>667371.66466588445</v>
      </c>
      <c r="AX96" s="62">
        <v>3365457.4227021178</v>
      </c>
      <c r="AY96" s="62">
        <v>3279481.9083021176</v>
      </c>
      <c r="AZ96" s="62">
        <v>4610</v>
      </c>
      <c r="BA96" s="62">
        <v>2766000</v>
      </c>
      <c r="BB96" s="62">
        <v>0</v>
      </c>
      <c r="BC96" s="62">
        <v>0</v>
      </c>
      <c r="BD96" s="62">
        <v>3365457.4227021178</v>
      </c>
      <c r="BE96" s="44">
        <v>3365457.4227021178</v>
      </c>
      <c r="BF96" s="44">
        <v>0</v>
      </c>
      <c r="BG96" s="62">
        <v>2851975.5144000002</v>
      </c>
      <c r="BH96" s="62">
        <v>2682992.16</v>
      </c>
      <c r="BI96" s="44">
        <v>3196474.0683021178</v>
      </c>
      <c r="BJ96" s="44">
        <v>5327.4567805035294</v>
      </c>
      <c r="BK96" s="44">
        <v>5203.1178199672668</v>
      </c>
      <c r="BL96" s="45">
        <v>2.3897010376952198E-2</v>
      </c>
      <c r="BM96" s="45">
        <v>0</v>
      </c>
      <c r="BN96" s="44">
        <v>0</v>
      </c>
      <c r="BO96" s="62">
        <v>3365457.4227021178</v>
      </c>
      <c r="BP96" s="62">
        <v>5465.8031805035289</v>
      </c>
      <c r="BQ96" s="62" t="s">
        <v>92</v>
      </c>
      <c r="BR96" s="62">
        <v>5609.0957045035293</v>
      </c>
      <c r="BS96" s="53">
        <v>1.9368160247350996E-2</v>
      </c>
      <c r="BT96" s="44">
        <v>-15042</v>
      </c>
      <c r="BU96" s="44">
        <v>3350415.4227021178</v>
      </c>
      <c r="BV96" s="44">
        <v>0</v>
      </c>
      <c r="BW96" s="44">
        <v>3350415.4227021178</v>
      </c>
      <c r="BX96" s="44">
        <v>30739.814399999999</v>
      </c>
      <c r="BY96" s="44">
        <v>3319675.6083021178</v>
      </c>
    </row>
    <row r="97" spans="1:77">
      <c r="A97">
        <v>2469</v>
      </c>
      <c r="B97" s="60">
        <v>103395</v>
      </c>
      <c r="C97" s="60">
        <v>3302469</v>
      </c>
      <c r="D97" s="61" t="s">
        <v>727</v>
      </c>
      <c r="E97" s="52">
        <v>325</v>
      </c>
      <c r="F97" s="52">
        <v>325</v>
      </c>
      <c r="G97" s="52">
        <v>0</v>
      </c>
      <c r="H97" s="44">
        <v>1161713.345</v>
      </c>
      <c r="I97" s="44">
        <v>0</v>
      </c>
      <c r="J97" s="44">
        <v>0</v>
      </c>
      <c r="K97" s="44">
        <v>59989.827799999934</v>
      </c>
      <c r="L97" s="44">
        <v>0</v>
      </c>
      <c r="M97" s="44">
        <v>106974.166</v>
      </c>
      <c r="N97" s="44">
        <v>0</v>
      </c>
      <c r="O97" s="44">
        <v>1414.9488000000033</v>
      </c>
      <c r="P97" s="44">
        <v>1430.0015000000012</v>
      </c>
      <c r="Q97" s="44">
        <v>446.56190000000038</v>
      </c>
      <c r="R97" s="44">
        <v>93933.543900000019</v>
      </c>
      <c r="S97" s="44">
        <v>2584.0380000000023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37415.591597222141</v>
      </c>
      <c r="AB97" s="44">
        <v>0</v>
      </c>
      <c r="AC97" s="44">
        <v>115431.32917510305</v>
      </c>
      <c r="AD97" s="44">
        <v>0</v>
      </c>
      <c r="AE97" s="44">
        <v>20712.446399999957</v>
      </c>
      <c r="AF97" s="44">
        <v>0</v>
      </c>
      <c r="AG97" s="44">
        <v>138243.54</v>
      </c>
      <c r="AH97" s="44">
        <v>0</v>
      </c>
      <c r="AI97" s="44">
        <v>0</v>
      </c>
      <c r="AJ97" s="44">
        <v>0</v>
      </c>
      <c r="AK97" s="44">
        <v>25052.185300000001</v>
      </c>
      <c r="AL97" s="44">
        <v>0</v>
      </c>
      <c r="AM97" s="44">
        <v>0</v>
      </c>
      <c r="AN97" s="44">
        <v>0</v>
      </c>
      <c r="AO97" s="44">
        <v>0</v>
      </c>
      <c r="AP97" s="44">
        <v>0</v>
      </c>
      <c r="AQ97" s="44">
        <v>0</v>
      </c>
      <c r="AR97" s="44">
        <v>0</v>
      </c>
      <c r="AS97" s="44">
        <v>0</v>
      </c>
      <c r="AT97" s="44">
        <v>1161713.345</v>
      </c>
      <c r="AU97" s="44">
        <v>440332.45507232513</v>
      </c>
      <c r="AV97" s="44">
        <v>163295.72530000002</v>
      </c>
      <c r="AW97" s="44">
        <v>306903.54037510301</v>
      </c>
      <c r="AX97" s="62">
        <v>1765341.5253723252</v>
      </c>
      <c r="AY97" s="62">
        <v>1740289.3400723252</v>
      </c>
      <c r="AZ97" s="62">
        <v>4610</v>
      </c>
      <c r="BA97" s="62">
        <v>1498250</v>
      </c>
      <c r="BB97" s="62">
        <v>0</v>
      </c>
      <c r="BC97" s="62">
        <v>0</v>
      </c>
      <c r="BD97" s="62">
        <v>1765341.5253723252</v>
      </c>
      <c r="BE97" s="44">
        <v>1765341.5253723247</v>
      </c>
      <c r="BF97" s="44">
        <v>0</v>
      </c>
      <c r="BG97" s="62">
        <v>1523302.1853</v>
      </c>
      <c r="BH97" s="62">
        <v>1360006.46</v>
      </c>
      <c r="BI97" s="44">
        <v>1602045.8000723252</v>
      </c>
      <c r="BJ97" s="44">
        <v>4929.3716925302315</v>
      </c>
      <c r="BK97" s="44">
        <v>4918.9549015822786</v>
      </c>
      <c r="BL97" s="45">
        <v>2.1176837674608765E-3</v>
      </c>
      <c r="BM97" s="45">
        <v>2.8823162325391236E-3</v>
      </c>
      <c r="BN97" s="44">
        <v>4607.8446569865082</v>
      </c>
      <c r="BO97" s="62">
        <v>1769949.3700293116</v>
      </c>
      <c r="BP97" s="62">
        <v>5368.9144145517284</v>
      </c>
      <c r="BQ97" s="62" t="s">
        <v>92</v>
      </c>
      <c r="BR97" s="62">
        <v>5445.9980616286512</v>
      </c>
      <c r="BS97" s="53">
        <v>-8.9544344385417141E-4</v>
      </c>
      <c r="BT97" s="44">
        <v>-8147.75</v>
      </c>
      <c r="BU97" s="44">
        <v>1761801.6200293116</v>
      </c>
      <c r="BV97" s="44">
        <v>0</v>
      </c>
      <c r="BW97" s="44">
        <v>1761801.6200293116</v>
      </c>
      <c r="BX97" s="44">
        <v>25052.185300000001</v>
      </c>
      <c r="BY97" s="44">
        <v>1736749.4347293116</v>
      </c>
    </row>
    <row r="98" spans="1:77">
      <c r="A98">
        <v>2474</v>
      </c>
      <c r="B98" s="60">
        <v>131672</v>
      </c>
      <c r="C98" s="60">
        <v>3302474</v>
      </c>
      <c r="D98" s="61" t="s">
        <v>677</v>
      </c>
      <c r="E98" s="52">
        <v>421</v>
      </c>
      <c r="F98" s="52">
        <v>421</v>
      </c>
      <c r="G98" s="52">
        <v>0</v>
      </c>
      <c r="H98" s="44">
        <v>1504865.5946</v>
      </c>
      <c r="I98" s="44">
        <v>0</v>
      </c>
      <c r="J98" s="44">
        <v>0</v>
      </c>
      <c r="K98" s="44">
        <v>66873.906400000007</v>
      </c>
      <c r="L98" s="44">
        <v>0</v>
      </c>
      <c r="M98" s="44">
        <v>112734.3134</v>
      </c>
      <c r="N98" s="44">
        <v>0</v>
      </c>
      <c r="O98" s="44">
        <v>12262.889600000026</v>
      </c>
      <c r="P98" s="44">
        <v>14586.015300000034</v>
      </c>
      <c r="Q98" s="44">
        <v>893.12380000000019</v>
      </c>
      <c r="R98" s="44">
        <v>37962.779399999978</v>
      </c>
      <c r="S98" s="44">
        <v>2067.2304000000004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28999.993500830995</v>
      </c>
      <c r="AB98" s="44">
        <v>0</v>
      </c>
      <c r="AC98" s="44">
        <v>133815.8558933434</v>
      </c>
      <c r="AD98" s="44">
        <v>0</v>
      </c>
      <c r="AE98" s="44">
        <v>0</v>
      </c>
      <c r="AF98" s="44">
        <v>0</v>
      </c>
      <c r="AG98" s="44">
        <v>138243.54</v>
      </c>
      <c r="AH98" s="44">
        <v>0</v>
      </c>
      <c r="AI98" s="44">
        <v>0</v>
      </c>
      <c r="AJ98" s="44">
        <v>0</v>
      </c>
      <c r="AK98" s="44">
        <v>33857.500800000002</v>
      </c>
      <c r="AL98" s="44">
        <v>0</v>
      </c>
      <c r="AM98" s="44">
        <v>0</v>
      </c>
      <c r="AN98" s="44">
        <v>0</v>
      </c>
      <c r="AO98" s="44">
        <v>0</v>
      </c>
      <c r="AP98" s="44">
        <v>0</v>
      </c>
      <c r="AQ98" s="44">
        <v>0</v>
      </c>
      <c r="AR98" s="44">
        <v>0</v>
      </c>
      <c r="AS98" s="44">
        <v>0</v>
      </c>
      <c r="AT98" s="44">
        <v>1504865.5946</v>
      </c>
      <c r="AU98" s="44">
        <v>410196.10769417445</v>
      </c>
      <c r="AV98" s="44">
        <v>172101.04080000002</v>
      </c>
      <c r="AW98" s="44">
        <v>332749.26477334346</v>
      </c>
      <c r="AX98" s="62">
        <v>2087162.7430941744</v>
      </c>
      <c r="AY98" s="62">
        <v>2053305.2422941744</v>
      </c>
      <c r="AZ98" s="62">
        <v>4610</v>
      </c>
      <c r="BA98" s="62">
        <v>1940810</v>
      </c>
      <c r="BB98" s="62">
        <v>0</v>
      </c>
      <c r="BC98" s="62">
        <v>0</v>
      </c>
      <c r="BD98" s="62">
        <v>2087162.7430941744</v>
      </c>
      <c r="BE98" s="44">
        <v>2087162.7430941747</v>
      </c>
      <c r="BF98" s="44">
        <v>0</v>
      </c>
      <c r="BG98" s="62">
        <v>1974667.5008</v>
      </c>
      <c r="BH98" s="62">
        <v>1802566.46</v>
      </c>
      <c r="BI98" s="44">
        <v>1915061.7022941743</v>
      </c>
      <c r="BJ98" s="44">
        <v>4548.8401479671602</v>
      </c>
      <c r="BK98" s="44">
        <v>4486.3591596577016</v>
      </c>
      <c r="BL98" s="45">
        <v>1.3926880592017894E-2</v>
      </c>
      <c r="BM98" s="45">
        <v>0</v>
      </c>
      <c r="BN98" s="44">
        <v>0</v>
      </c>
      <c r="BO98" s="62">
        <v>2087162.7430941744</v>
      </c>
      <c r="BP98" s="62">
        <v>4877.2096016488704</v>
      </c>
      <c r="BQ98" s="62" t="s">
        <v>92</v>
      </c>
      <c r="BR98" s="62">
        <v>4957.6312187510084</v>
      </c>
      <c r="BS98" s="53">
        <v>1.5111098585687266E-2</v>
      </c>
      <c r="BT98" s="44">
        <v>-10554.47</v>
      </c>
      <c r="BU98" s="44">
        <v>2076608.2730941745</v>
      </c>
      <c r="BV98" s="44">
        <v>0</v>
      </c>
      <c r="BW98" s="44">
        <v>2076608.2730941745</v>
      </c>
      <c r="BX98" s="44">
        <v>33857.500800000002</v>
      </c>
      <c r="BY98" s="44">
        <v>2042750.7722941744</v>
      </c>
    </row>
    <row r="99" spans="1:77">
      <c r="A99">
        <v>2477</v>
      </c>
      <c r="B99" s="60">
        <v>132261</v>
      </c>
      <c r="C99" s="60">
        <v>3302477</v>
      </c>
      <c r="D99" s="61" t="s">
        <v>662</v>
      </c>
      <c r="E99" s="52">
        <v>825</v>
      </c>
      <c r="F99" s="52">
        <v>825</v>
      </c>
      <c r="G99" s="52">
        <v>0</v>
      </c>
      <c r="H99" s="44">
        <v>2948964.645</v>
      </c>
      <c r="I99" s="44">
        <v>0</v>
      </c>
      <c r="J99" s="44">
        <v>0</v>
      </c>
      <c r="K99" s="44">
        <v>34140.453452970316</v>
      </c>
      <c r="L99" s="44">
        <v>0</v>
      </c>
      <c r="M99" s="44">
        <v>61333.959894801948</v>
      </c>
      <c r="N99" s="44">
        <v>0</v>
      </c>
      <c r="O99" s="44">
        <v>12520.895940594068</v>
      </c>
      <c r="P99" s="44">
        <v>11972.722954826722</v>
      </c>
      <c r="Q99" s="44">
        <v>14590.636336633661</v>
      </c>
      <c r="R99" s="44">
        <v>7454.1348545792225</v>
      </c>
      <c r="S99" s="44">
        <v>40103.758069306947</v>
      </c>
      <c r="T99" s="44">
        <v>13934.878960396067</v>
      </c>
      <c r="U99" s="44">
        <v>0</v>
      </c>
      <c r="V99" s="44">
        <v>0</v>
      </c>
      <c r="W99" s="44">
        <v>0</v>
      </c>
      <c r="X99" s="44">
        <v>0</v>
      </c>
      <c r="Y99" s="44">
        <v>0</v>
      </c>
      <c r="Z99" s="44">
        <v>0</v>
      </c>
      <c r="AA99" s="44">
        <v>105689.849254386</v>
      </c>
      <c r="AB99" s="44">
        <v>0</v>
      </c>
      <c r="AC99" s="44">
        <v>270152.6097332724</v>
      </c>
      <c r="AD99" s="44">
        <v>0</v>
      </c>
      <c r="AE99" s="44">
        <v>0</v>
      </c>
      <c r="AF99" s="44">
        <v>0</v>
      </c>
      <c r="AG99" s="44">
        <v>138243.54</v>
      </c>
      <c r="AH99" s="44">
        <v>0</v>
      </c>
      <c r="AI99" s="44">
        <v>0</v>
      </c>
      <c r="AJ99" s="44">
        <v>82904.98</v>
      </c>
      <c r="AK99" s="44">
        <v>33389.7984</v>
      </c>
      <c r="AL99" s="44">
        <v>0</v>
      </c>
      <c r="AM99" s="44">
        <v>0</v>
      </c>
      <c r="AN99" s="44">
        <v>0</v>
      </c>
      <c r="AO99" s="44">
        <v>0</v>
      </c>
      <c r="AP99" s="44">
        <v>0</v>
      </c>
      <c r="AQ99" s="44">
        <v>0</v>
      </c>
      <c r="AR99" s="44">
        <v>0</v>
      </c>
      <c r="AS99" s="44">
        <v>0</v>
      </c>
      <c r="AT99" s="44">
        <v>2948964.645</v>
      </c>
      <c r="AU99" s="44">
        <v>571893.89945176733</v>
      </c>
      <c r="AV99" s="44">
        <v>254538.31840000002</v>
      </c>
      <c r="AW99" s="44">
        <v>515626.56221532688</v>
      </c>
      <c r="AX99" s="62">
        <v>3775396.8628517678</v>
      </c>
      <c r="AY99" s="62">
        <v>3659102.0844517676</v>
      </c>
      <c r="AZ99" s="62">
        <v>4610</v>
      </c>
      <c r="BA99" s="62">
        <v>3803250</v>
      </c>
      <c r="BB99" s="62">
        <v>144147.91554823238</v>
      </c>
      <c r="BC99" s="62">
        <v>0</v>
      </c>
      <c r="BD99" s="62">
        <v>3919544.7784000002</v>
      </c>
      <c r="BE99" s="44">
        <v>3919544.7784000002</v>
      </c>
      <c r="BF99" s="44">
        <v>0</v>
      </c>
      <c r="BG99" s="62">
        <v>3919544.7784000002</v>
      </c>
      <c r="BH99" s="62">
        <v>3747911.44</v>
      </c>
      <c r="BI99" s="44">
        <v>3747911.44</v>
      </c>
      <c r="BJ99" s="44">
        <v>4542.9229575757572</v>
      </c>
      <c r="BK99" s="44">
        <v>4427.656650346129</v>
      </c>
      <c r="BL99" s="45">
        <v>2.603325332839829E-2</v>
      </c>
      <c r="BM99" s="45">
        <v>0</v>
      </c>
      <c r="BN99" s="44">
        <v>0</v>
      </c>
      <c r="BO99" s="62">
        <v>3919544.7784000002</v>
      </c>
      <c r="BP99" s="62">
        <v>4610</v>
      </c>
      <c r="BQ99" s="62" t="s">
        <v>92</v>
      </c>
      <c r="BR99" s="62">
        <v>4750.9633677575757</v>
      </c>
      <c r="BS99" s="53">
        <v>2.3246106809570399E-2</v>
      </c>
      <c r="BT99" s="44">
        <v>-20682.75</v>
      </c>
      <c r="BU99" s="44">
        <v>3898862.0284000002</v>
      </c>
      <c r="BV99" s="44">
        <v>0</v>
      </c>
      <c r="BW99" s="44">
        <v>3898862.0284000002</v>
      </c>
      <c r="BX99" s="44">
        <v>33389.7984</v>
      </c>
      <c r="BY99" s="44">
        <v>3865472.23</v>
      </c>
    </row>
    <row r="100" spans="1:77">
      <c r="A100">
        <v>2478</v>
      </c>
      <c r="B100" s="60">
        <v>132007</v>
      </c>
      <c r="C100" s="60">
        <v>3302478</v>
      </c>
      <c r="D100" s="61" t="s">
        <v>566</v>
      </c>
      <c r="E100" s="52">
        <v>425</v>
      </c>
      <c r="F100" s="52">
        <v>425</v>
      </c>
      <c r="G100" s="52">
        <v>0</v>
      </c>
      <c r="H100" s="44">
        <v>1519163.605</v>
      </c>
      <c r="I100" s="44">
        <v>0</v>
      </c>
      <c r="J100" s="44">
        <v>0</v>
      </c>
      <c r="K100" s="44">
        <v>16718.476599999998</v>
      </c>
      <c r="L100" s="44">
        <v>0</v>
      </c>
      <c r="M100" s="44">
        <v>29623.615200000004</v>
      </c>
      <c r="N100" s="44">
        <v>0</v>
      </c>
      <c r="O100" s="44">
        <v>8018.0432000000001</v>
      </c>
      <c r="P100" s="44">
        <v>1430.0014999999948</v>
      </c>
      <c r="Q100" s="44">
        <v>446.56190000000038</v>
      </c>
      <c r="R100" s="44">
        <v>16547.878199999999</v>
      </c>
      <c r="S100" s="44">
        <v>516.80760000000043</v>
      </c>
      <c r="T100" s="44">
        <v>0</v>
      </c>
      <c r="U100" s="44">
        <v>0</v>
      </c>
      <c r="V100" s="44">
        <v>0</v>
      </c>
      <c r="W100" s="44">
        <v>0</v>
      </c>
      <c r="X100" s="44">
        <v>0</v>
      </c>
      <c r="Y100" s="44">
        <v>0</v>
      </c>
      <c r="Z100" s="44">
        <v>0</v>
      </c>
      <c r="AA100" s="44">
        <v>12443.248310439547</v>
      </c>
      <c r="AB100" s="44">
        <v>0</v>
      </c>
      <c r="AC100" s="44">
        <v>75045.553693825481</v>
      </c>
      <c r="AD100" s="44">
        <v>0</v>
      </c>
      <c r="AE100" s="44">
        <v>0</v>
      </c>
      <c r="AF100" s="44">
        <v>0</v>
      </c>
      <c r="AG100" s="44">
        <v>138243.54</v>
      </c>
      <c r="AH100" s="44">
        <v>0</v>
      </c>
      <c r="AI100" s="44">
        <v>0</v>
      </c>
      <c r="AJ100" s="44">
        <v>0</v>
      </c>
      <c r="AK100" s="44">
        <v>47099.582499999997</v>
      </c>
      <c r="AL100" s="44">
        <v>0</v>
      </c>
      <c r="AM100" s="44">
        <v>0</v>
      </c>
      <c r="AN100" s="44">
        <v>0</v>
      </c>
      <c r="AO100" s="44">
        <v>0</v>
      </c>
      <c r="AP100" s="44">
        <v>0</v>
      </c>
      <c r="AQ100" s="44">
        <v>0</v>
      </c>
      <c r="AR100" s="44">
        <v>0</v>
      </c>
      <c r="AS100" s="44">
        <v>0</v>
      </c>
      <c r="AT100" s="44">
        <v>1519163.605</v>
      </c>
      <c r="AU100" s="44">
        <v>160790.18620426505</v>
      </c>
      <c r="AV100" s="44">
        <v>185343.1225</v>
      </c>
      <c r="AW100" s="44">
        <v>187654.42604382549</v>
      </c>
      <c r="AX100" s="62">
        <v>1865296.9137042651</v>
      </c>
      <c r="AY100" s="62">
        <v>1818197.3312042651</v>
      </c>
      <c r="AZ100" s="62">
        <v>4610</v>
      </c>
      <c r="BA100" s="62">
        <v>1959250</v>
      </c>
      <c r="BB100" s="62">
        <v>141052.66879573488</v>
      </c>
      <c r="BC100" s="62">
        <v>0</v>
      </c>
      <c r="BD100" s="62">
        <v>2006349.5825</v>
      </c>
      <c r="BE100" s="44">
        <v>2006349.5824999998</v>
      </c>
      <c r="BF100" s="44">
        <v>0</v>
      </c>
      <c r="BG100" s="62">
        <v>2006349.5825</v>
      </c>
      <c r="BH100" s="62">
        <v>1821006.46</v>
      </c>
      <c r="BI100" s="44">
        <v>1821006.46</v>
      </c>
      <c r="BJ100" s="44">
        <v>4284.7210823529413</v>
      </c>
      <c r="BK100" s="44">
        <v>4218.1196218823525</v>
      </c>
      <c r="BL100" s="45">
        <v>1.5789372147029728E-2</v>
      </c>
      <c r="BM100" s="45">
        <v>0</v>
      </c>
      <c r="BN100" s="44">
        <v>0</v>
      </c>
      <c r="BO100" s="62">
        <v>2006349.5825</v>
      </c>
      <c r="BP100" s="62">
        <v>4610</v>
      </c>
      <c r="BQ100" s="62" t="s">
        <v>92</v>
      </c>
      <c r="BR100" s="62">
        <v>4720.8225470588231</v>
      </c>
      <c r="BS100" s="53">
        <v>2.1895060951392153E-2</v>
      </c>
      <c r="BT100" s="44">
        <v>-10654.75</v>
      </c>
      <c r="BU100" s="44">
        <v>1995694.8325</v>
      </c>
      <c r="BV100" s="44">
        <v>0</v>
      </c>
      <c r="BW100" s="44">
        <v>1995694.8325</v>
      </c>
      <c r="BX100" s="44">
        <v>47099.582499999997</v>
      </c>
      <c r="BY100" s="44">
        <v>1948595.25</v>
      </c>
    </row>
    <row r="101" spans="1:77">
      <c r="A101">
        <v>2479</v>
      </c>
      <c r="B101" s="60">
        <v>132074</v>
      </c>
      <c r="C101" s="60">
        <v>3302479</v>
      </c>
      <c r="D101" s="61" t="s">
        <v>419</v>
      </c>
      <c r="E101" s="52">
        <v>645</v>
      </c>
      <c r="F101" s="52">
        <v>645</v>
      </c>
      <c r="G101" s="52">
        <v>0</v>
      </c>
      <c r="H101" s="44">
        <v>2305554.1769999997</v>
      </c>
      <c r="I101" s="44">
        <v>0</v>
      </c>
      <c r="J101" s="44">
        <v>0</v>
      </c>
      <c r="K101" s="44">
        <v>157350.36800000002</v>
      </c>
      <c r="L101" s="44">
        <v>0</v>
      </c>
      <c r="M101" s="44">
        <v>265789.65860000026</v>
      </c>
      <c r="N101" s="44">
        <v>0</v>
      </c>
      <c r="O101" s="44">
        <v>2594.0728000000045</v>
      </c>
      <c r="P101" s="44">
        <v>1716.0018000000002</v>
      </c>
      <c r="Q101" s="44">
        <v>12057.171300000007</v>
      </c>
      <c r="R101" s="44">
        <v>34069.16100000008</v>
      </c>
      <c r="S101" s="44">
        <v>263571.87600000011</v>
      </c>
      <c r="T101" s="44">
        <v>11600.575599999991</v>
      </c>
      <c r="U101" s="44">
        <v>0</v>
      </c>
      <c r="V101" s="44">
        <v>0</v>
      </c>
      <c r="W101" s="44">
        <v>0</v>
      </c>
      <c r="X101" s="44">
        <v>0</v>
      </c>
      <c r="Y101" s="44">
        <v>0</v>
      </c>
      <c r="Z101" s="44">
        <v>0</v>
      </c>
      <c r="AA101" s="44">
        <v>107097.10523247223</v>
      </c>
      <c r="AB101" s="44">
        <v>0</v>
      </c>
      <c r="AC101" s="44">
        <v>261131.82047158456</v>
      </c>
      <c r="AD101" s="44">
        <v>0</v>
      </c>
      <c r="AE101" s="44">
        <v>0</v>
      </c>
      <c r="AF101" s="44">
        <v>0</v>
      </c>
      <c r="AG101" s="44">
        <v>138243.54</v>
      </c>
      <c r="AH101" s="44">
        <v>0</v>
      </c>
      <c r="AI101" s="44">
        <v>0</v>
      </c>
      <c r="AJ101" s="44">
        <v>56185.357820312558</v>
      </c>
      <c r="AK101" s="44">
        <v>31269.8112</v>
      </c>
      <c r="AL101" s="44">
        <v>0</v>
      </c>
      <c r="AM101" s="44">
        <v>0</v>
      </c>
      <c r="AN101" s="44">
        <v>0</v>
      </c>
      <c r="AO101" s="44">
        <v>0</v>
      </c>
      <c r="AP101" s="44">
        <v>0</v>
      </c>
      <c r="AQ101" s="44">
        <v>0</v>
      </c>
      <c r="AR101" s="44">
        <v>0</v>
      </c>
      <c r="AS101" s="44">
        <v>0</v>
      </c>
      <c r="AT101" s="44">
        <v>2305554.1769999997</v>
      </c>
      <c r="AU101" s="44">
        <v>1116977.8108040572</v>
      </c>
      <c r="AV101" s="44">
        <v>225698.70902031256</v>
      </c>
      <c r="AW101" s="44">
        <v>750783.97187158489</v>
      </c>
      <c r="AX101" s="62">
        <v>3648230.6968243695</v>
      </c>
      <c r="AY101" s="62">
        <v>3560775.5278040571</v>
      </c>
      <c r="AZ101" s="62">
        <v>4610</v>
      </c>
      <c r="BA101" s="62">
        <v>2973450</v>
      </c>
      <c r="BB101" s="62">
        <v>0</v>
      </c>
      <c r="BC101" s="62">
        <v>0</v>
      </c>
      <c r="BD101" s="62">
        <v>3648230.6968243695</v>
      </c>
      <c r="BE101" s="44">
        <v>3648230.6968243695</v>
      </c>
      <c r="BF101" s="44">
        <v>0</v>
      </c>
      <c r="BG101" s="62">
        <v>3060905.1690203124</v>
      </c>
      <c r="BH101" s="62">
        <v>2891391.8178203125</v>
      </c>
      <c r="BI101" s="44">
        <v>3478717.3456243696</v>
      </c>
      <c r="BJ101" s="44">
        <v>5393.3602257742168</v>
      </c>
      <c r="BK101" s="44">
        <v>5279.7146268072283</v>
      </c>
      <c r="BL101" s="45">
        <v>2.1524951062688917E-2</v>
      </c>
      <c r="BM101" s="45">
        <v>0</v>
      </c>
      <c r="BN101" s="44">
        <v>0</v>
      </c>
      <c r="BO101" s="62">
        <v>3648230.6968243695</v>
      </c>
      <c r="BP101" s="62">
        <v>5520.5822136497009</v>
      </c>
      <c r="BQ101" s="62" t="s">
        <v>92</v>
      </c>
      <c r="BR101" s="62">
        <v>5656.1716229835183</v>
      </c>
      <c r="BS101" s="53">
        <v>1.7886582439184062E-2</v>
      </c>
      <c r="BT101" s="44">
        <v>-16170.15</v>
      </c>
      <c r="BU101" s="44">
        <v>3632060.5468243696</v>
      </c>
      <c r="BV101" s="44">
        <v>0</v>
      </c>
      <c r="BW101" s="44">
        <v>3632060.5468243696</v>
      </c>
      <c r="BX101" s="44">
        <v>31269.8112</v>
      </c>
      <c r="BY101" s="44">
        <v>3600790.7356243697</v>
      </c>
    </row>
    <row r="102" spans="1:77">
      <c r="A102">
        <v>2482</v>
      </c>
      <c r="B102" s="60">
        <v>132201</v>
      </c>
      <c r="C102" s="60">
        <v>3302482</v>
      </c>
      <c r="D102" s="61" t="s">
        <v>560</v>
      </c>
      <c r="E102" s="52">
        <v>395</v>
      </c>
      <c r="F102" s="52">
        <v>395</v>
      </c>
      <c r="G102" s="52">
        <v>0</v>
      </c>
      <c r="H102" s="44">
        <v>1411928.527</v>
      </c>
      <c r="I102" s="44">
        <v>0</v>
      </c>
      <c r="J102" s="44">
        <v>0</v>
      </c>
      <c r="K102" s="44">
        <v>101786.01929999991</v>
      </c>
      <c r="L102" s="44">
        <v>0</v>
      </c>
      <c r="M102" s="44">
        <v>171981.54380000001</v>
      </c>
      <c r="N102" s="44">
        <v>0</v>
      </c>
      <c r="O102" s="44">
        <v>3065.722400000001</v>
      </c>
      <c r="P102" s="44">
        <v>6864.0072000000027</v>
      </c>
      <c r="Q102" s="44">
        <v>77701.770599999989</v>
      </c>
      <c r="R102" s="44">
        <v>76412.261100000032</v>
      </c>
      <c r="S102" s="44">
        <v>9302.536800000009</v>
      </c>
      <c r="T102" s="44">
        <v>4776.7076000000079</v>
      </c>
      <c r="U102" s="44">
        <v>0</v>
      </c>
      <c r="V102" s="44">
        <v>0</v>
      </c>
      <c r="W102" s="44">
        <v>0</v>
      </c>
      <c r="X102" s="44">
        <v>0</v>
      </c>
      <c r="Y102" s="44">
        <v>0</v>
      </c>
      <c r="Z102" s="44">
        <v>0</v>
      </c>
      <c r="AA102" s="44">
        <v>110640.10458498588</v>
      </c>
      <c r="AB102" s="44">
        <v>0</v>
      </c>
      <c r="AC102" s="44">
        <v>177395.66047418179</v>
      </c>
      <c r="AD102" s="44">
        <v>0</v>
      </c>
      <c r="AE102" s="44">
        <v>7995.9676800000007</v>
      </c>
      <c r="AF102" s="44">
        <v>0</v>
      </c>
      <c r="AG102" s="44">
        <v>138243.54</v>
      </c>
      <c r="AH102" s="44">
        <v>0</v>
      </c>
      <c r="AI102" s="44">
        <v>0</v>
      </c>
      <c r="AJ102" s="44">
        <v>0</v>
      </c>
      <c r="AK102" s="44">
        <v>36932.596700000002</v>
      </c>
      <c r="AL102" s="44">
        <v>0</v>
      </c>
      <c r="AM102" s="44">
        <v>0</v>
      </c>
      <c r="AN102" s="44">
        <v>0</v>
      </c>
      <c r="AO102" s="44">
        <v>0</v>
      </c>
      <c r="AP102" s="44">
        <v>0</v>
      </c>
      <c r="AQ102" s="44">
        <v>0</v>
      </c>
      <c r="AR102" s="44">
        <v>0</v>
      </c>
      <c r="AS102" s="44">
        <v>0</v>
      </c>
      <c r="AT102" s="44">
        <v>1411928.527</v>
      </c>
      <c r="AU102" s="44">
        <v>747922.30153916765</v>
      </c>
      <c r="AV102" s="44">
        <v>175176.1367</v>
      </c>
      <c r="AW102" s="44">
        <v>473937.37122418173</v>
      </c>
      <c r="AX102" s="62">
        <v>2335026.9652391677</v>
      </c>
      <c r="AY102" s="62">
        <v>2298094.3685391676</v>
      </c>
      <c r="AZ102" s="62">
        <v>4610</v>
      </c>
      <c r="BA102" s="62">
        <v>1820950</v>
      </c>
      <c r="BB102" s="62">
        <v>0</v>
      </c>
      <c r="BC102" s="62">
        <v>0</v>
      </c>
      <c r="BD102" s="62">
        <v>2335026.9652391677</v>
      </c>
      <c r="BE102" s="44">
        <v>2335026.9652391677</v>
      </c>
      <c r="BF102" s="44">
        <v>0</v>
      </c>
      <c r="BG102" s="62">
        <v>1857882.5967000001</v>
      </c>
      <c r="BH102" s="62">
        <v>1682706.46</v>
      </c>
      <c r="BI102" s="44">
        <v>2159850.8285391675</v>
      </c>
      <c r="BJ102" s="44">
        <v>5467.9767811118163</v>
      </c>
      <c r="BK102" s="44">
        <v>5318.3879121518985</v>
      </c>
      <c r="BL102" s="45">
        <v>2.8126731526695266E-2</v>
      </c>
      <c r="BM102" s="45">
        <v>0</v>
      </c>
      <c r="BN102" s="44">
        <v>0</v>
      </c>
      <c r="BO102" s="62">
        <v>2335026.9652391677</v>
      </c>
      <c r="BP102" s="62">
        <v>5817.9604266814367</v>
      </c>
      <c r="BQ102" s="62" t="s">
        <v>92</v>
      </c>
      <c r="BR102" s="62">
        <v>5911.4606714915635</v>
      </c>
      <c r="BS102" s="53">
        <v>2.8933704643746117E-2</v>
      </c>
      <c r="BT102" s="44">
        <v>-9902.65</v>
      </c>
      <c r="BU102" s="44">
        <v>2325124.3152391678</v>
      </c>
      <c r="BV102" s="44">
        <v>0</v>
      </c>
      <c r="BW102" s="44">
        <v>2325124.3152391678</v>
      </c>
      <c r="BX102" s="44">
        <v>36932.596700000002</v>
      </c>
      <c r="BY102" s="44">
        <v>2288191.7185391677</v>
      </c>
    </row>
    <row r="103" spans="1:77">
      <c r="A103">
        <v>2486</v>
      </c>
      <c r="B103" s="60">
        <v>133759</v>
      </c>
      <c r="C103" s="60">
        <v>3302486</v>
      </c>
      <c r="D103" s="61" t="s">
        <v>293</v>
      </c>
      <c r="E103" s="52">
        <v>197</v>
      </c>
      <c r="F103" s="52">
        <v>197</v>
      </c>
      <c r="G103" s="52">
        <v>0</v>
      </c>
      <c r="H103" s="44">
        <v>704177.0122</v>
      </c>
      <c r="I103" s="44">
        <v>0</v>
      </c>
      <c r="J103" s="44">
        <v>0</v>
      </c>
      <c r="K103" s="44">
        <v>65398.74670000004</v>
      </c>
      <c r="L103" s="44">
        <v>0</v>
      </c>
      <c r="M103" s="44">
        <v>111911.43520000007</v>
      </c>
      <c r="N103" s="44">
        <v>0</v>
      </c>
      <c r="O103" s="44">
        <v>1179.1240000000012</v>
      </c>
      <c r="P103" s="44">
        <v>1144.0012000000008</v>
      </c>
      <c r="Q103" s="44">
        <v>2679.3714000000023</v>
      </c>
      <c r="R103" s="44">
        <v>6813.8321999999962</v>
      </c>
      <c r="S103" s="44">
        <v>79071.562799999956</v>
      </c>
      <c r="T103" s="44">
        <v>6141.4812000000047</v>
      </c>
      <c r="U103" s="44">
        <v>0</v>
      </c>
      <c r="V103" s="44">
        <v>0</v>
      </c>
      <c r="W103" s="44">
        <v>0</v>
      </c>
      <c r="X103" s="44">
        <v>0</v>
      </c>
      <c r="Y103" s="44">
        <v>0</v>
      </c>
      <c r="Z103" s="44">
        <v>0</v>
      </c>
      <c r="AA103" s="44">
        <v>12663.550735428622</v>
      </c>
      <c r="AB103" s="44">
        <v>0</v>
      </c>
      <c r="AC103" s="44">
        <v>82785.45676835932</v>
      </c>
      <c r="AD103" s="44">
        <v>0</v>
      </c>
      <c r="AE103" s="44">
        <v>7978.6663484082383</v>
      </c>
      <c r="AF103" s="44">
        <v>0</v>
      </c>
      <c r="AG103" s="44">
        <v>138243.54</v>
      </c>
      <c r="AH103" s="44">
        <v>0</v>
      </c>
      <c r="AI103" s="44">
        <v>0</v>
      </c>
      <c r="AJ103" s="44">
        <v>0</v>
      </c>
      <c r="AK103" s="44">
        <v>14979.6608</v>
      </c>
      <c r="AL103" s="44">
        <v>0</v>
      </c>
      <c r="AM103" s="44">
        <v>0</v>
      </c>
      <c r="AN103" s="44">
        <v>0</v>
      </c>
      <c r="AO103" s="44">
        <v>0</v>
      </c>
      <c r="AP103" s="44">
        <v>0</v>
      </c>
      <c r="AQ103" s="44">
        <v>0</v>
      </c>
      <c r="AR103" s="44">
        <v>0</v>
      </c>
      <c r="AS103" s="44">
        <v>0</v>
      </c>
      <c r="AT103" s="44">
        <v>704177.0122</v>
      </c>
      <c r="AU103" s="44">
        <v>377767.22855219617</v>
      </c>
      <c r="AV103" s="44">
        <v>153223.20080000002</v>
      </c>
      <c r="AW103" s="44">
        <v>255164.08472835936</v>
      </c>
      <c r="AX103" s="62">
        <v>1235167.4415521962</v>
      </c>
      <c r="AY103" s="62">
        <v>1220187.7807521962</v>
      </c>
      <c r="AZ103" s="62">
        <v>4610</v>
      </c>
      <c r="BA103" s="62">
        <v>908170</v>
      </c>
      <c r="BB103" s="62">
        <v>0</v>
      </c>
      <c r="BC103" s="62">
        <v>0</v>
      </c>
      <c r="BD103" s="62">
        <v>1235167.4415521962</v>
      </c>
      <c r="BE103" s="44">
        <v>1235167.4415521962</v>
      </c>
      <c r="BF103" s="44">
        <v>0</v>
      </c>
      <c r="BG103" s="62">
        <v>923149.66079999995</v>
      </c>
      <c r="BH103" s="62">
        <v>769926.46</v>
      </c>
      <c r="BI103" s="44">
        <v>1081944.2407521962</v>
      </c>
      <c r="BJ103" s="44">
        <v>5492.1027449350058</v>
      </c>
      <c r="BK103" s="44">
        <v>5855.8868512953368</v>
      </c>
      <c r="BL103" s="45">
        <v>-6.2122803189044028E-2</v>
      </c>
      <c r="BM103" s="45">
        <v>6.7122803189044025E-2</v>
      </c>
      <c r="BN103" s="44">
        <v>77433.517501511087</v>
      </c>
      <c r="BO103" s="62">
        <v>1312600.9590537073</v>
      </c>
      <c r="BP103" s="62">
        <v>6586.9101434198346</v>
      </c>
      <c r="BQ103" s="62" t="s">
        <v>92</v>
      </c>
      <c r="BR103" s="62">
        <v>6662.9490307294791</v>
      </c>
      <c r="BS103" s="53">
        <v>-1.4059355878890067E-2</v>
      </c>
      <c r="BT103" s="44">
        <v>-4938.79</v>
      </c>
      <c r="BU103" s="44">
        <v>1307662.1690537073</v>
      </c>
      <c r="BV103" s="44">
        <v>0</v>
      </c>
      <c r="BW103" s="44">
        <v>1307662.1690537073</v>
      </c>
      <c r="BX103" s="44">
        <v>14979.6608</v>
      </c>
      <c r="BY103" s="44">
        <v>1292682.5082537073</v>
      </c>
    </row>
    <row r="104" spans="1:77">
      <c r="A104">
        <v>3002</v>
      </c>
      <c r="B104" s="60">
        <v>103397</v>
      </c>
      <c r="C104" s="60">
        <v>3303002</v>
      </c>
      <c r="D104" s="61" t="s">
        <v>275</v>
      </c>
      <c r="E104" s="52">
        <v>203</v>
      </c>
      <c r="F104" s="52">
        <v>203</v>
      </c>
      <c r="G104" s="52">
        <v>0</v>
      </c>
      <c r="H104" s="44">
        <v>725624.02779999992</v>
      </c>
      <c r="I104" s="44">
        <v>0</v>
      </c>
      <c r="J104" s="44">
        <v>0</v>
      </c>
      <c r="K104" s="44">
        <v>49663.709900000016</v>
      </c>
      <c r="L104" s="44">
        <v>0</v>
      </c>
      <c r="M104" s="44">
        <v>83110.698200000028</v>
      </c>
      <c r="N104" s="44">
        <v>0</v>
      </c>
      <c r="O104" s="44">
        <v>1179.1240000000009</v>
      </c>
      <c r="P104" s="44">
        <v>4576.0048000000006</v>
      </c>
      <c r="Q104" s="44">
        <v>5805.3047000000033</v>
      </c>
      <c r="R104" s="44">
        <v>8273.9390999999978</v>
      </c>
      <c r="S104" s="44">
        <v>35659.72439999997</v>
      </c>
      <c r="T104" s="44">
        <v>50496.623200000067</v>
      </c>
      <c r="U104" s="44">
        <v>0</v>
      </c>
      <c r="V104" s="44">
        <v>0</v>
      </c>
      <c r="W104" s="44">
        <v>0</v>
      </c>
      <c r="X104" s="44">
        <v>0</v>
      </c>
      <c r="Y104" s="44">
        <v>0</v>
      </c>
      <c r="Z104" s="44">
        <v>0</v>
      </c>
      <c r="AA104" s="44">
        <v>28845.694248000003</v>
      </c>
      <c r="AB104" s="44">
        <v>0</v>
      </c>
      <c r="AC104" s="44">
        <v>72741.550381500041</v>
      </c>
      <c r="AD104" s="44">
        <v>0</v>
      </c>
      <c r="AE104" s="44">
        <v>0</v>
      </c>
      <c r="AF104" s="44">
        <v>0</v>
      </c>
      <c r="AG104" s="44">
        <v>138243.54</v>
      </c>
      <c r="AH104" s="44">
        <v>0</v>
      </c>
      <c r="AI104" s="44">
        <v>0</v>
      </c>
      <c r="AJ104" s="44">
        <v>0</v>
      </c>
      <c r="AK104" s="44">
        <v>20015.9179</v>
      </c>
      <c r="AL104" s="44">
        <v>0</v>
      </c>
      <c r="AM104" s="44">
        <v>0</v>
      </c>
      <c r="AN104" s="44">
        <v>0</v>
      </c>
      <c r="AO104" s="44">
        <v>0</v>
      </c>
      <c r="AP104" s="44">
        <v>0</v>
      </c>
      <c r="AQ104" s="44">
        <v>0</v>
      </c>
      <c r="AR104" s="44">
        <v>0</v>
      </c>
      <c r="AS104" s="44">
        <v>0</v>
      </c>
      <c r="AT104" s="44">
        <v>725624.02779999992</v>
      </c>
      <c r="AU104" s="44">
        <v>340352.37292950012</v>
      </c>
      <c r="AV104" s="44">
        <v>158259.45790000001</v>
      </c>
      <c r="AW104" s="44">
        <v>228405.31592150009</v>
      </c>
      <c r="AX104" s="62">
        <v>1224235.8586295</v>
      </c>
      <c r="AY104" s="62">
        <v>1204219.9407295</v>
      </c>
      <c r="AZ104" s="62">
        <v>4610</v>
      </c>
      <c r="BA104" s="62">
        <v>935830</v>
      </c>
      <c r="BB104" s="62">
        <v>0</v>
      </c>
      <c r="BC104" s="62">
        <v>0</v>
      </c>
      <c r="BD104" s="62">
        <v>1224235.8586295</v>
      </c>
      <c r="BE104" s="44">
        <v>1224235.8586294998</v>
      </c>
      <c r="BF104" s="44">
        <v>0</v>
      </c>
      <c r="BG104" s="62">
        <v>955845.9179</v>
      </c>
      <c r="BH104" s="62">
        <v>797586.46</v>
      </c>
      <c r="BI104" s="44">
        <v>1065976.4007295</v>
      </c>
      <c r="BJ104" s="44">
        <v>5251.1152745295567</v>
      </c>
      <c r="BK104" s="44">
        <v>5437.8294902439011</v>
      </c>
      <c r="BL104" s="45">
        <v>-3.4336165937040031E-2</v>
      </c>
      <c r="BM104" s="45">
        <v>3.9336165937040028E-2</v>
      </c>
      <c r="BN104" s="44">
        <v>43422.382722609473</v>
      </c>
      <c r="BO104" s="62">
        <v>1267658.2413521095</v>
      </c>
      <c r="BP104" s="62">
        <v>6146.0212977936426</v>
      </c>
      <c r="BQ104" s="62" t="s">
        <v>92</v>
      </c>
      <c r="BR104" s="62">
        <v>6244.6218785818201</v>
      </c>
      <c r="BS104" s="53">
        <v>9.9448697962423172E-3</v>
      </c>
      <c r="BT104" s="44">
        <v>-5089.21</v>
      </c>
      <c r="BU104" s="44">
        <v>1262569.0313521095</v>
      </c>
      <c r="BV104" s="44">
        <v>0</v>
      </c>
      <c r="BW104" s="44">
        <v>1262569.0313521095</v>
      </c>
      <c r="BX104" s="44">
        <v>20015.9179</v>
      </c>
      <c r="BY104" s="44">
        <v>1242553.1134521095</v>
      </c>
    </row>
    <row r="105" spans="1:77">
      <c r="A105">
        <v>3003</v>
      </c>
      <c r="B105" s="60">
        <v>103398</v>
      </c>
      <c r="C105" s="60">
        <v>3303003</v>
      </c>
      <c r="D105" s="61" t="s">
        <v>718</v>
      </c>
      <c r="E105" s="52">
        <v>209</v>
      </c>
      <c r="F105" s="52">
        <v>209</v>
      </c>
      <c r="G105" s="52">
        <v>0</v>
      </c>
      <c r="H105" s="44">
        <v>747071.04339999997</v>
      </c>
      <c r="I105" s="44">
        <v>0</v>
      </c>
      <c r="J105" s="44">
        <v>0</v>
      </c>
      <c r="K105" s="44">
        <v>13768.157200000029</v>
      </c>
      <c r="L105" s="44">
        <v>0</v>
      </c>
      <c r="M105" s="44">
        <v>23863.467799999999</v>
      </c>
      <c r="N105" s="44">
        <v>0</v>
      </c>
      <c r="O105" s="44">
        <v>6397.8814730769082</v>
      </c>
      <c r="P105" s="44">
        <v>2299.0024115384635</v>
      </c>
      <c r="Q105" s="44">
        <v>1794.835328846151</v>
      </c>
      <c r="R105" s="44">
        <v>3423.2955043269276</v>
      </c>
      <c r="S105" s="44">
        <v>1038.5845038461543</v>
      </c>
      <c r="T105" s="44">
        <v>1371.3350115384621</v>
      </c>
      <c r="U105" s="44">
        <v>0</v>
      </c>
      <c r="V105" s="44">
        <v>0</v>
      </c>
      <c r="W105" s="44">
        <v>0</v>
      </c>
      <c r="X105" s="44">
        <v>0</v>
      </c>
      <c r="Y105" s="44">
        <v>0</v>
      </c>
      <c r="Z105" s="44">
        <v>0</v>
      </c>
      <c r="AA105" s="44">
        <v>3456.5032988826756</v>
      </c>
      <c r="AB105" s="44">
        <v>0</v>
      </c>
      <c r="AC105" s="44">
        <v>55115.579508052644</v>
      </c>
      <c r="AD105" s="44">
        <v>0</v>
      </c>
      <c r="AE105" s="44">
        <v>0</v>
      </c>
      <c r="AF105" s="44">
        <v>0</v>
      </c>
      <c r="AG105" s="44">
        <v>138243.54</v>
      </c>
      <c r="AH105" s="44">
        <v>0</v>
      </c>
      <c r="AI105" s="44">
        <v>0</v>
      </c>
      <c r="AJ105" s="44">
        <v>0</v>
      </c>
      <c r="AK105" s="44">
        <v>49289.702400000002</v>
      </c>
      <c r="AL105" s="44">
        <v>0</v>
      </c>
      <c r="AM105" s="44">
        <v>0</v>
      </c>
      <c r="AN105" s="44">
        <v>0</v>
      </c>
      <c r="AO105" s="44">
        <v>0</v>
      </c>
      <c r="AP105" s="44">
        <v>0</v>
      </c>
      <c r="AQ105" s="44">
        <v>0</v>
      </c>
      <c r="AR105" s="44">
        <v>0</v>
      </c>
      <c r="AS105" s="44">
        <v>0</v>
      </c>
      <c r="AT105" s="44">
        <v>747071.04339999997</v>
      </c>
      <c r="AU105" s="44">
        <v>112528.64204010842</v>
      </c>
      <c r="AV105" s="44">
        <v>187533.24240000002</v>
      </c>
      <c r="AW105" s="44">
        <v>119447.4112946392</v>
      </c>
      <c r="AX105" s="62">
        <v>1047132.9278401084</v>
      </c>
      <c r="AY105" s="62">
        <v>997843.22544010845</v>
      </c>
      <c r="AZ105" s="62">
        <v>4610</v>
      </c>
      <c r="BA105" s="62">
        <v>963490</v>
      </c>
      <c r="BB105" s="62">
        <v>0</v>
      </c>
      <c r="BC105" s="62">
        <v>0</v>
      </c>
      <c r="BD105" s="62">
        <v>1047132.9278401084</v>
      </c>
      <c r="BE105" s="44">
        <v>1047132.9278401083</v>
      </c>
      <c r="BF105" s="44">
        <v>0</v>
      </c>
      <c r="BG105" s="62">
        <v>1012779.7024</v>
      </c>
      <c r="BH105" s="62">
        <v>825246.46</v>
      </c>
      <c r="BI105" s="44">
        <v>859599.68544010841</v>
      </c>
      <c r="BJ105" s="44">
        <v>4112.9171552158296</v>
      </c>
      <c r="BK105" s="44">
        <v>3993.3321990566037</v>
      </c>
      <c r="BL105" s="45">
        <v>2.9946157794604949E-2</v>
      </c>
      <c r="BM105" s="45">
        <v>0</v>
      </c>
      <c r="BN105" s="44">
        <v>0</v>
      </c>
      <c r="BO105" s="62">
        <v>1047132.9278401084</v>
      </c>
      <c r="BP105" s="62">
        <v>4774.3694997134371</v>
      </c>
      <c r="BQ105" s="62" t="s">
        <v>92</v>
      </c>
      <c r="BR105" s="62">
        <v>5010.2053963641547</v>
      </c>
      <c r="BS105" s="53">
        <v>5.7654871098284488E-2</v>
      </c>
      <c r="BT105" s="44">
        <v>-5239.63</v>
      </c>
      <c r="BU105" s="44">
        <v>1041893.2978401084</v>
      </c>
      <c r="BV105" s="44">
        <v>0</v>
      </c>
      <c r="BW105" s="44">
        <v>1041893.2978401084</v>
      </c>
      <c r="BX105" s="44">
        <v>49289.702400000002</v>
      </c>
      <c r="BY105" s="44">
        <v>992603.59544010845</v>
      </c>
    </row>
    <row r="106" spans="1:77">
      <c r="A106">
        <v>3010</v>
      </c>
      <c r="B106" s="60">
        <v>103401</v>
      </c>
      <c r="C106" s="60">
        <v>3303010</v>
      </c>
      <c r="D106" s="61" t="s">
        <v>799</v>
      </c>
      <c r="E106" s="52">
        <v>419</v>
      </c>
      <c r="F106" s="52">
        <v>419</v>
      </c>
      <c r="G106" s="52">
        <v>0</v>
      </c>
      <c r="H106" s="44">
        <v>1497716.5893999999</v>
      </c>
      <c r="I106" s="44">
        <v>0</v>
      </c>
      <c r="J106" s="44">
        <v>0</v>
      </c>
      <c r="K106" s="44">
        <v>94410.220799999966</v>
      </c>
      <c r="L106" s="44">
        <v>0</v>
      </c>
      <c r="M106" s="44">
        <v>161284.12719999999</v>
      </c>
      <c r="N106" s="44">
        <v>0</v>
      </c>
      <c r="O106" s="44">
        <v>8018.0432000000001</v>
      </c>
      <c r="P106" s="44">
        <v>2574.0026999999977</v>
      </c>
      <c r="Q106" s="44">
        <v>79488.01820000002</v>
      </c>
      <c r="R106" s="44">
        <v>61811.19209999992</v>
      </c>
      <c r="S106" s="44">
        <v>29974.840800000078</v>
      </c>
      <c r="T106" s="44">
        <v>3411.9340000000066</v>
      </c>
      <c r="U106" s="44">
        <v>0</v>
      </c>
      <c r="V106" s="44">
        <v>0</v>
      </c>
      <c r="W106" s="44">
        <v>0</v>
      </c>
      <c r="X106" s="44">
        <v>0</v>
      </c>
      <c r="Y106" s="44">
        <v>0</v>
      </c>
      <c r="Z106" s="44">
        <v>0</v>
      </c>
      <c r="AA106" s="44">
        <v>81089.11201606653</v>
      </c>
      <c r="AB106" s="44">
        <v>0</v>
      </c>
      <c r="AC106" s="44">
        <v>238495.14868270958</v>
      </c>
      <c r="AD106" s="44">
        <v>0</v>
      </c>
      <c r="AE106" s="44">
        <v>828.49785599999711</v>
      </c>
      <c r="AF106" s="44">
        <v>0</v>
      </c>
      <c r="AG106" s="44">
        <v>138243.54</v>
      </c>
      <c r="AH106" s="44">
        <v>0</v>
      </c>
      <c r="AI106" s="44">
        <v>0</v>
      </c>
      <c r="AJ106" s="44">
        <v>0</v>
      </c>
      <c r="AK106" s="44">
        <v>15367.064399999999</v>
      </c>
      <c r="AL106" s="44">
        <v>0</v>
      </c>
      <c r="AM106" s="44">
        <v>0</v>
      </c>
      <c r="AN106" s="44">
        <v>0</v>
      </c>
      <c r="AO106" s="44">
        <v>0</v>
      </c>
      <c r="AP106" s="44">
        <v>0</v>
      </c>
      <c r="AQ106" s="44">
        <v>0</v>
      </c>
      <c r="AR106" s="44">
        <v>0</v>
      </c>
      <c r="AS106" s="44">
        <v>0</v>
      </c>
      <c r="AT106" s="44">
        <v>1497716.5893999999</v>
      </c>
      <c r="AU106" s="44">
        <v>761385.13755477604</v>
      </c>
      <c r="AV106" s="44">
        <v>153610.60440000001</v>
      </c>
      <c r="AW106" s="44">
        <v>533867.16765270953</v>
      </c>
      <c r="AX106" s="62">
        <v>2412712.3313547759</v>
      </c>
      <c r="AY106" s="62">
        <v>2397345.2669547759</v>
      </c>
      <c r="AZ106" s="62">
        <v>4610</v>
      </c>
      <c r="BA106" s="62">
        <v>1931590</v>
      </c>
      <c r="BB106" s="62">
        <v>0</v>
      </c>
      <c r="BC106" s="62">
        <v>0</v>
      </c>
      <c r="BD106" s="62">
        <v>2412712.3313547759</v>
      </c>
      <c r="BE106" s="44">
        <v>2412712.3313547759</v>
      </c>
      <c r="BF106" s="44">
        <v>0</v>
      </c>
      <c r="BG106" s="62">
        <v>1946957.0644</v>
      </c>
      <c r="BH106" s="62">
        <v>1793346.46</v>
      </c>
      <c r="BI106" s="44">
        <v>2259101.7269547759</v>
      </c>
      <c r="BJ106" s="44">
        <v>5391.650899653403</v>
      </c>
      <c r="BK106" s="44">
        <v>5304.1570809069208</v>
      </c>
      <c r="BL106" s="45">
        <v>1.649532949569478E-2</v>
      </c>
      <c r="BM106" s="45">
        <v>0</v>
      </c>
      <c r="BN106" s="44">
        <v>0</v>
      </c>
      <c r="BO106" s="62">
        <v>2412712.3313547759</v>
      </c>
      <c r="BP106" s="62">
        <v>5721.5877492954078</v>
      </c>
      <c r="BQ106" s="62" t="s">
        <v>92</v>
      </c>
      <c r="BR106" s="62">
        <v>5758.2633206557903</v>
      </c>
      <c r="BS106" s="53">
        <v>1.7325414692594965E-3</v>
      </c>
      <c r="BT106" s="44">
        <v>-10504.33</v>
      </c>
      <c r="BU106" s="44">
        <v>2402208.0013547759</v>
      </c>
      <c r="BV106" s="44">
        <v>0</v>
      </c>
      <c r="BW106" s="44">
        <v>2402208.0013547759</v>
      </c>
      <c r="BX106" s="44">
        <v>15367.064399999999</v>
      </c>
      <c r="BY106" s="44">
        <v>2386840.9369547758</v>
      </c>
    </row>
    <row r="107" spans="1:77">
      <c r="A107">
        <v>3016</v>
      </c>
      <c r="B107" s="60">
        <v>103404</v>
      </c>
      <c r="C107" s="60">
        <v>3303016</v>
      </c>
      <c r="D107" s="61" t="s">
        <v>366</v>
      </c>
      <c r="E107" s="52">
        <v>210</v>
      </c>
      <c r="F107" s="52">
        <v>210</v>
      </c>
      <c r="G107" s="52">
        <v>0</v>
      </c>
      <c r="H107" s="44">
        <v>750645.54599999997</v>
      </c>
      <c r="I107" s="44">
        <v>0</v>
      </c>
      <c r="J107" s="44">
        <v>0</v>
      </c>
      <c r="K107" s="44">
        <v>54089.189000000013</v>
      </c>
      <c r="L107" s="44">
        <v>0</v>
      </c>
      <c r="M107" s="44">
        <v>97099.627600000022</v>
      </c>
      <c r="N107" s="44">
        <v>0</v>
      </c>
      <c r="O107" s="44">
        <v>471.64959999999979</v>
      </c>
      <c r="P107" s="44">
        <v>572.00059999999974</v>
      </c>
      <c r="Q107" s="44">
        <v>1339.6857000000011</v>
      </c>
      <c r="R107" s="44">
        <v>3893.6183999999998</v>
      </c>
      <c r="S107" s="44">
        <v>99227.05919999996</v>
      </c>
      <c r="T107" s="44">
        <v>1364.7735999999993</v>
      </c>
      <c r="U107" s="44">
        <v>0</v>
      </c>
      <c r="V107" s="44">
        <v>0</v>
      </c>
      <c r="W107" s="44">
        <v>0</v>
      </c>
      <c r="X107" s="44">
        <v>0</v>
      </c>
      <c r="Y107" s="44">
        <v>0</v>
      </c>
      <c r="Z107" s="44">
        <v>0</v>
      </c>
      <c r="AA107" s="44">
        <v>48432.776529069743</v>
      </c>
      <c r="AB107" s="44">
        <v>0</v>
      </c>
      <c r="AC107" s="44">
        <v>57078.976385384005</v>
      </c>
      <c r="AD107" s="44">
        <v>0</v>
      </c>
      <c r="AE107" s="44">
        <v>0</v>
      </c>
      <c r="AF107" s="44">
        <v>0</v>
      </c>
      <c r="AG107" s="44">
        <v>138243.54</v>
      </c>
      <c r="AH107" s="44">
        <v>0</v>
      </c>
      <c r="AI107" s="44">
        <v>0</v>
      </c>
      <c r="AJ107" s="44">
        <v>0</v>
      </c>
      <c r="AK107" s="44">
        <v>15625.3266</v>
      </c>
      <c r="AL107" s="44">
        <v>0</v>
      </c>
      <c r="AM107" s="44">
        <v>0</v>
      </c>
      <c r="AN107" s="44">
        <v>0</v>
      </c>
      <c r="AO107" s="44">
        <v>0</v>
      </c>
      <c r="AP107" s="44">
        <v>0</v>
      </c>
      <c r="AQ107" s="44">
        <v>0</v>
      </c>
      <c r="AR107" s="44">
        <v>0</v>
      </c>
      <c r="AS107" s="44">
        <v>0</v>
      </c>
      <c r="AT107" s="44">
        <v>750645.54599999997</v>
      </c>
      <c r="AU107" s="44">
        <v>363569.35661445372</v>
      </c>
      <c r="AV107" s="44">
        <v>153868.86660000001</v>
      </c>
      <c r="AW107" s="44">
        <v>223640.05553538405</v>
      </c>
      <c r="AX107" s="62">
        <v>1268083.7692144539</v>
      </c>
      <c r="AY107" s="62">
        <v>1252458.4426144538</v>
      </c>
      <c r="AZ107" s="62">
        <v>4610</v>
      </c>
      <c r="BA107" s="62">
        <v>968100</v>
      </c>
      <c r="BB107" s="62">
        <v>0</v>
      </c>
      <c r="BC107" s="62">
        <v>0</v>
      </c>
      <c r="BD107" s="62">
        <v>1268083.7692144539</v>
      </c>
      <c r="BE107" s="44">
        <v>1268083.7692144539</v>
      </c>
      <c r="BF107" s="44">
        <v>0</v>
      </c>
      <c r="BG107" s="62">
        <v>983725.32660000003</v>
      </c>
      <c r="BH107" s="62">
        <v>829856.46</v>
      </c>
      <c r="BI107" s="44">
        <v>1114214.9026144538</v>
      </c>
      <c r="BJ107" s="44">
        <v>5305.7852505450182</v>
      </c>
      <c r="BK107" s="44">
        <v>5820.7497636815915</v>
      </c>
      <c r="BL107" s="45">
        <v>-8.8470477866903027E-2</v>
      </c>
      <c r="BM107" s="45">
        <v>9.3470477866903032E-2</v>
      </c>
      <c r="BN107" s="44">
        <v>114254.33501054607</v>
      </c>
      <c r="BO107" s="62">
        <v>1382338.1042249999</v>
      </c>
      <c r="BP107" s="62">
        <v>6508.1560839285712</v>
      </c>
      <c r="BQ107" s="62" t="s">
        <v>92</v>
      </c>
      <c r="BR107" s="62">
        <v>6582.5624010714282</v>
      </c>
      <c r="BS107" s="53">
        <v>-2.9233541542494912E-5</v>
      </c>
      <c r="BT107" s="44">
        <v>-5264.7</v>
      </c>
      <c r="BU107" s="44">
        <v>1377073.4042249999</v>
      </c>
      <c r="BV107" s="44">
        <v>0</v>
      </c>
      <c r="BW107" s="44">
        <v>1377073.4042249999</v>
      </c>
      <c r="BX107" s="44">
        <v>15625.3266</v>
      </c>
      <c r="BY107" s="44">
        <v>1361448.0776249999</v>
      </c>
    </row>
    <row r="108" spans="1:77">
      <c r="A108">
        <v>3019</v>
      </c>
      <c r="B108" s="60">
        <v>103406</v>
      </c>
      <c r="C108" s="60">
        <v>3303019</v>
      </c>
      <c r="D108" s="61" t="s">
        <v>536</v>
      </c>
      <c r="E108" s="52">
        <v>405</v>
      </c>
      <c r="F108" s="52">
        <v>405</v>
      </c>
      <c r="G108" s="52">
        <v>0</v>
      </c>
      <c r="H108" s="44">
        <v>1447673.5529999998</v>
      </c>
      <c r="I108" s="44">
        <v>0</v>
      </c>
      <c r="J108" s="44">
        <v>0</v>
      </c>
      <c r="K108" s="44">
        <v>87034.422299999991</v>
      </c>
      <c r="L108" s="44">
        <v>0</v>
      </c>
      <c r="M108" s="44">
        <v>148118.07599999983</v>
      </c>
      <c r="N108" s="44">
        <v>0</v>
      </c>
      <c r="O108" s="44">
        <v>950.33874626865725</v>
      </c>
      <c r="P108" s="44">
        <v>38898.175130597003</v>
      </c>
      <c r="Q108" s="44">
        <v>899.78890298507406</v>
      </c>
      <c r="R108" s="44">
        <v>43149.427791044793</v>
      </c>
      <c r="S108" s="44">
        <v>87992.279059701541</v>
      </c>
      <c r="T108" s="44">
        <v>1374.9584776119395</v>
      </c>
      <c r="U108" s="44">
        <v>0</v>
      </c>
      <c r="V108" s="44">
        <v>0</v>
      </c>
      <c r="W108" s="44">
        <v>0</v>
      </c>
      <c r="X108" s="44">
        <v>0</v>
      </c>
      <c r="Y108" s="44">
        <v>0</v>
      </c>
      <c r="Z108" s="44">
        <v>0</v>
      </c>
      <c r="AA108" s="44">
        <v>114350.10951589598</v>
      </c>
      <c r="AB108" s="44">
        <v>0</v>
      </c>
      <c r="AC108" s="44">
        <v>172585.93618321579</v>
      </c>
      <c r="AD108" s="44">
        <v>0</v>
      </c>
      <c r="AE108" s="44">
        <v>0</v>
      </c>
      <c r="AF108" s="44">
        <v>0</v>
      </c>
      <c r="AG108" s="44">
        <v>138243.54</v>
      </c>
      <c r="AH108" s="44">
        <v>0</v>
      </c>
      <c r="AI108" s="44">
        <v>0</v>
      </c>
      <c r="AJ108" s="44">
        <v>0</v>
      </c>
      <c r="AK108" s="44">
        <v>27824.831999999999</v>
      </c>
      <c r="AL108" s="44">
        <v>0</v>
      </c>
      <c r="AM108" s="44">
        <v>0</v>
      </c>
      <c r="AN108" s="44">
        <v>0</v>
      </c>
      <c r="AO108" s="44">
        <v>0</v>
      </c>
      <c r="AP108" s="44">
        <v>0</v>
      </c>
      <c r="AQ108" s="44">
        <v>0</v>
      </c>
      <c r="AR108" s="44">
        <v>0</v>
      </c>
      <c r="AS108" s="44">
        <v>0</v>
      </c>
      <c r="AT108" s="44">
        <v>1447673.5529999998</v>
      </c>
      <c r="AU108" s="44">
        <v>695353.5121073206</v>
      </c>
      <c r="AV108" s="44">
        <v>166068.372</v>
      </c>
      <c r="AW108" s="44">
        <v>449178.34703732014</v>
      </c>
      <c r="AX108" s="62">
        <v>2309095.4371073204</v>
      </c>
      <c r="AY108" s="62">
        <v>2281270.6051073205</v>
      </c>
      <c r="AZ108" s="62">
        <v>4610</v>
      </c>
      <c r="BA108" s="62">
        <v>1867050</v>
      </c>
      <c r="BB108" s="62">
        <v>0</v>
      </c>
      <c r="BC108" s="62">
        <v>0</v>
      </c>
      <c r="BD108" s="62">
        <v>2309095.4371073204</v>
      </c>
      <c r="BE108" s="44">
        <v>2309095.4371073209</v>
      </c>
      <c r="BF108" s="44">
        <v>0</v>
      </c>
      <c r="BG108" s="62">
        <v>1894874.8319999999</v>
      </c>
      <c r="BH108" s="62">
        <v>1728806.46</v>
      </c>
      <c r="BI108" s="44">
        <v>2143027.0651073204</v>
      </c>
      <c r="BJ108" s="44">
        <v>5291.4248521168402</v>
      </c>
      <c r="BK108" s="44">
        <v>5081.6120660975594</v>
      </c>
      <c r="BL108" s="45">
        <v>4.1288627169922321E-2</v>
      </c>
      <c r="BM108" s="45">
        <v>0</v>
      </c>
      <c r="BN108" s="44">
        <v>0</v>
      </c>
      <c r="BO108" s="62">
        <v>2309095.4371073204</v>
      </c>
      <c r="BP108" s="62">
        <v>5632.766926190915</v>
      </c>
      <c r="BQ108" s="62" t="s">
        <v>92</v>
      </c>
      <c r="BR108" s="62">
        <v>5701.4702150798039</v>
      </c>
      <c r="BS108" s="53">
        <v>4.5030721105210558E-2</v>
      </c>
      <c r="BT108" s="44">
        <v>-10153.35</v>
      </c>
      <c r="BU108" s="44">
        <v>2298942.0871073203</v>
      </c>
      <c r="BV108" s="44">
        <v>0</v>
      </c>
      <c r="BW108" s="44">
        <v>2298942.0871073203</v>
      </c>
      <c r="BX108" s="44">
        <v>27824.831999999999</v>
      </c>
      <c r="BY108" s="44">
        <v>2271117.2551073204</v>
      </c>
    </row>
    <row r="109" spans="1:77">
      <c r="A109">
        <v>3025</v>
      </c>
      <c r="B109" s="60">
        <v>103410</v>
      </c>
      <c r="C109" s="60">
        <v>3303025</v>
      </c>
      <c r="D109" s="61" t="s">
        <v>157</v>
      </c>
      <c r="E109" s="52">
        <v>403</v>
      </c>
      <c r="F109" s="52">
        <v>403</v>
      </c>
      <c r="G109" s="52">
        <v>0</v>
      </c>
      <c r="H109" s="44">
        <v>1440524.5477999998</v>
      </c>
      <c r="I109" s="44">
        <v>0</v>
      </c>
      <c r="J109" s="44">
        <v>0</v>
      </c>
      <c r="K109" s="44">
        <v>42779.631299999972</v>
      </c>
      <c r="L109" s="44">
        <v>0</v>
      </c>
      <c r="M109" s="44">
        <v>74059.03799999984</v>
      </c>
      <c r="N109" s="44">
        <v>0</v>
      </c>
      <c r="O109" s="44">
        <v>15092.787199999964</v>
      </c>
      <c r="P109" s="44">
        <v>3146.0033000000012</v>
      </c>
      <c r="Q109" s="44">
        <v>30366.20919999991</v>
      </c>
      <c r="R109" s="44">
        <v>6813.8321999999989</v>
      </c>
      <c r="S109" s="44">
        <v>51680.759999999958</v>
      </c>
      <c r="T109" s="44">
        <v>6823.8679999999949</v>
      </c>
      <c r="U109" s="44">
        <v>0</v>
      </c>
      <c r="V109" s="44">
        <v>0</v>
      </c>
      <c r="W109" s="44">
        <v>0</v>
      </c>
      <c r="X109" s="44">
        <v>0</v>
      </c>
      <c r="Y109" s="44">
        <v>0</v>
      </c>
      <c r="Z109" s="44">
        <v>0</v>
      </c>
      <c r="AA109" s="44">
        <v>48790.290776190515</v>
      </c>
      <c r="AB109" s="44">
        <v>0</v>
      </c>
      <c r="AC109" s="44">
        <v>169325.47503578576</v>
      </c>
      <c r="AD109" s="44">
        <v>0</v>
      </c>
      <c r="AE109" s="44">
        <v>2716.7022719999877</v>
      </c>
      <c r="AF109" s="44">
        <v>0</v>
      </c>
      <c r="AG109" s="44">
        <v>138243.54</v>
      </c>
      <c r="AH109" s="44">
        <v>0</v>
      </c>
      <c r="AI109" s="44">
        <v>0</v>
      </c>
      <c r="AJ109" s="44">
        <v>0</v>
      </c>
      <c r="AK109" s="44">
        <v>5126.1246000000001</v>
      </c>
      <c r="AL109" s="44">
        <v>0</v>
      </c>
      <c r="AM109" s="44">
        <v>0</v>
      </c>
      <c r="AN109" s="44">
        <v>0</v>
      </c>
      <c r="AO109" s="44">
        <v>0</v>
      </c>
      <c r="AP109" s="44">
        <v>0</v>
      </c>
      <c r="AQ109" s="44">
        <v>0</v>
      </c>
      <c r="AR109" s="44">
        <v>0</v>
      </c>
      <c r="AS109" s="44">
        <v>0</v>
      </c>
      <c r="AT109" s="44">
        <v>1440524.5477999998</v>
      </c>
      <c r="AU109" s="44">
        <v>451594.59728397586</v>
      </c>
      <c r="AV109" s="44">
        <v>143369.66460000002</v>
      </c>
      <c r="AW109" s="44">
        <v>356732.76702578558</v>
      </c>
      <c r="AX109" s="62">
        <v>2035488.8096839758</v>
      </c>
      <c r="AY109" s="62">
        <v>2030362.6850839758</v>
      </c>
      <c r="AZ109" s="62">
        <v>4610</v>
      </c>
      <c r="BA109" s="62">
        <v>1857830</v>
      </c>
      <c r="BB109" s="62">
        <v>0</v>
      </c>
      <c r="BC109" s="62">
        <v>0</v>
      </c>
      <c r="BD109" s="62">
        <v>2035488.8096839758</v>
      </c>
      <c r="BE109" s="44">
        <v>2035488.809683976</v>
      </c>
      <c r="BF109" s="44">
        <v>0</v>
      </c>
      <c r="BG109" s="62">
        <v>1862956.1246</v>
      </c>
      <c r="BH109" s="62">
        <v>1719586.46</v>
      </c>
      <c r="BI109" s="44">
        <v>1892119.1450839757</v>
      </c>
      <c r="BJ109" s="44">
        <v>4695.0847272555229</v>
      </c>
      <c r="BK109" s="44">
        <v>4572.802570167064</v>
      </c>
      <c r="BL109" s="45">
        <v>2.6741184473221512E-2</v>
      </c>
      <c r="BM109" s="45">
        <v>0</v>
      </c>
      <c r="BN109" s="44">
        <v>0</v>
      </c>
      <c r="BO109" s="62">
        <v>2035488.8096839758</v>
      </c>
      <c r="BP109" s="62">
        <v>5038.1208066599893</v>
      </c>
      <c r="BQ109" s="62" t="s">
        <v>92</v>
      </c>
      <c r="BR109" s="62">
        <v>5050.8407188187985</v>
      </c>
      <c r="BS109" s="53">
        <v>1.6835958487377845E-2</v>
      </c>
      <c r="BT109" s="44">
        <v>-10103.210000000001</v>
      </c>
      <c r="BU109" s="44">
        <v>2025385.5996839758</v>
      </c>
      <c r="BV109" s="44">
        <v>0</v>
      </c>
      <c r="BW109" s="44">
        <v>2025385.5996839758</v>
      </c>
      <c r="BX109" s="44">
        <v>5126.1246000000001</v>
      </c>
      <c r="BY109" s="44">
        <v>2020259.4750839758</v>
      </c>
    </row>
    <row r="110" spans="1:77">
      <c r="A110">
        <v>3307</v>
      </c>
      <c r="B110" s="60">
        <v>103416</v>
      </c>
      <c r="C110" s="60">
        <v>3303307</v>
      </c>
      <c r="D110" s="61" t="s">
        <v>805</v>
      </c>
      <c r="E110" s="52">
        <v>361</v>
      </c>
      <c r="F110" s="52">
        <v>361</v>
      </c>
      <c r="G110" s="52">
        <v>0</v>
      </c>
      <c r="H110" s="44">
        <v>1290395.4386</v>
      </c>
      <c r="I110" s="44">
        <v>0</v>
      </c>
      <c r="J110" s="44">
        <v>0</v>
      </c>
      <c r="K110" s="44">
        <v>42287.911399999924</v>
      </c>
      <c r="L110" s="44">
        <v>0</v>
      </c>
      <c r="M110" s="44">
        <v>70767.525199999873</v>
      </c>
      <c r="N110" s="44">
        <v>0</v>
      </c>
      <c r="O110" s="44">
        <v>3065.7224000000028</v>
      </c>
      <c r="P110" s="44">
        <v>13442.014100000048</v>
      </c>
      <c r="Q110" s="44">
        <v>6698.4284999999963</v>
      </c>
      <c r="R110" s="44">
        <v>17521.282800000001</v>
      </c>
      <c r="S110" s="44">
        <v>19121.881200000043</v>
      </c>
      <c r="T110" s="44">
        <v>45719.915599999993</v>
      </c>
      <c r="U110" s="44">
        <v>0</v>
      </c>
      <c r="V110" s="44">
        <v>0</v>
      </c>
      <c r="W110" s="44">
        <v>0</v>
      </c>
      <c r="X110" s="44">
        <v>0</v>
      </c>
      <c r="Y110" s="44">
        <v>0</v>
      </c>
      <c r="Z110" s="44">
        <v>0</v>
      </c>
      <c r="AA110" s="44">
        <v>4749.724331111106</v>
      </c>
      <c r="AB110" s="44">
        <v>0</v>
      </c>
      <c r="AC110" s="44">
        <v>79910.010846795019</v>
      </c>
      <c r="AD110" s="44">
        <v>0</v>
      </c>
      <c r="AE110" s="44">
        <v>0</v>
      </c>
      <c r="AF110" s="44">
        <v>0</v>
      </c>
      <c r="AG110" s="44">
        <v>138243.54</v>
      </c>
      <c r="AH110" s="44">
        <v>0</v>
      </c>
      <c r="AI110" s="44">
        <v>0</v>
      </c>
      <c r="AJ110" s="44">
        <v>0</v>
      </c>
      <c r="AK110" s="44">
        <v>4398.9754999999996</v>
      </c>
      <c r="AL110" s="44">
        <v>0</v>
      </c>
      <c r="AM110" s="44">
        <v>0</v>
      </c>
      <c r="AN110" s="44">
        <v>0</v>
      </c>
      <c r="AO110" s="44">
        <v>0</v>
      </c>
      <c r="AP110" s="44">
        <v>0</v>
      </c>
      <c r="AQ110" s="44">
        <v>0</v>
      </c>
      <c r="AR110" s="44">
        <v>0</v>
      </c>
      <c r="AS110" s="44">
        <v>0</v>
      </c>
      <c r="AT110" s="44">
        <v>1290395.4386</v>
      </c>
      <c r="AU110" s="44">
        <v>303284.41637790599</v>
      </c>
      <c r="AV110" s="44">
        <v>142642.51550000001</v>
      </c>
      <c r="AW110" s="44">
        <v>253742.12337679497</v>
      </c>
      <c r="AX110" s="62">
        <v>1736322.370477906</v>
      </c>
      <c r="AY110" s="62">
        <v>1731923.394977906</v>
      </c>
      <c r="AZ110" s="62">
        <v>4610</v>
      </c>
      <c r="BA110" s="62">
        <v>1664210</v>
      </c>
      <c r="BB110" s="62">
        <v>0</v>
      </c>
      <c r="BC110" s="62">
        <v>0</v>
      </c>
      <c r="BD110" s="62">
        <v>1736322.370477906</v>
      </c>
      <c r="BE110" s="44">
        <v>1736322.3704779057</v>
      </c>
      <c r="BF110" s="44">
        <v>0</v>
      </c>
      <c r="BG110" s="62">
        <v>1668608.9754999999</v>
      </c>
      <c r="BH110" s="62">
        <v>1525966.46</v>
      </c>
      <c r="BI110" s="44">
        <v>1593679.854977906</v>
      </c>
      <c r="BJ110" s="44">
        <v>4414.6256370579113</v>
      </c>
      <c r="BK110" s="44">
        <v>4311.337118662952</v>
      </c>
      <c r="BL110" s="45">
        <v>2.3957420993093555E-2</v>
      </c>
      <c r="BM110" s="45">
        <v>0</v>
      </c>
      <c r="BN110" s="44">
        <v>0</v>
      </c>
      <c r="BO110" s="62">
        <v>1736322.370477906</v>
      </c>
      <c r="BP110" s="62">
        <v>4797.5717312407369</v>
      </c>
      <c r="BQ110" s="62" t="s">
        <v>92</v>
      </c>
      <c r="BR110" s="62">
        <v>4809.7572589415677</v>
      </c>
      <c r="BS110" s="53">
        <v>2.111926280843468E-2</v>
      </c>
      <c r="BT110" s="44">
        <v>-9050.27</v>
      </c>
      <c r="BU110" s="44">
        <v>1727272.1004779059</v>
      </c>
      <c r="BV110" s="44">
        <v>0</v>
      </c>
      <c r="BW110" s="44">
        <v>1727272.1004779059</v>
      </c>
      <c r="BX110" s="44">
        <v>4398.9754999999996</v>
      </c>
      <c r="BY110" s="44">
        <v>1722873.124977906</v>
      </c>
    </row>
    <row r="111" spans="1:77">
      <c r="A111">
        <v>3310</v>
      </c>
      <c r="B111" s="60">
        <v>103417</v>
      </c>
      <c r="C111" s="60">
        <v>3303310</v>
      </c>
      <c r="D111" s="61" t="s">
        <v>822</v>
      </c>
      <c r="E111" s="52">
        <v>209</v>
      </c>
      <c r="F111" s="52">
        <v>209</v>
      </c>
      <c r="G111" s="52">
        <v>0</v>
      </c>
      <c r="H111" s="44">
        <v>747071.04339999997</v>
      </c>
      <c r="I111" s="44">
        <v>0</v>
      </c>
      <c r="J111" s="44">
        <v>0</v>
      </c>
      <c r="K111" s="44">
        <v>64907.0268</v>
      </c>
      <c r="L111" s="44">
        <v>0</v>
      </c>
      <c r="M111" s="44">
        <v>113557.19160000002</v>
      </c>
      <c r="N111" s="44">
        <v>0</v>
      </c>
      <c r="O111" s="44">
        <v>0</v>
      </c>
      <c r="P111" s="44">
        <v>1716.0018000000018</v>
      </c>
      <c r="Q111" s="44">
        <v>4912.1808999999976</v>
      </c>
      <c r="R111" s="44">
        <v>4380.3207000000002</v>
      </c>
      <c r="S111" s="44">
        <v>87857.292000000016</v>
      </c>
      <c r="T111" s="44">
        <v>2047.1603999999954</v>
      </c>
      <c r="U111" s="44">
        <v>0</v>
      </c>
      <c r="V111" s="44">
        <v>0</v>
      </c>
      <c r="W111" s="44">
        <v>0</v>
      </c>
      <c r="X111" s="44">
        <v>0</v>
      </c>
      <c r="Y111" s="44">
        <v>0</v>
      </c>
      <c r="Z111" s="44">
        <v>0</v>
      </c>
      <c r="AA111" s="44">
        <v>47699.745524581071</v>
      </c>
      <c r="AB111" s="44">
        <v>0</v>
      </c>
      <c r="AC111" s="44">
        <v>88074.889296428621</v>
      </c>
      <c r="AD111" s="44">
        <v>0</v>
      </c>
      <c r="AE111" s="44">
        <v>443.15001599999175</v>
      </c>
      <c r="AF111" s="44">
        <v>0</v>
      </c>
      <c r="AG111" s="44">
        <v>138243.54</v>
      </c>
      <c r="AH111" s="44">
        <v>0</v>
      </c>
      <c r="AI111" s="44">
        <v>0</v>
      </c>
      <c r="AJ111" s="44">
        <v>0</v>
      </c>
      <c r="AK111" s="44">
        <v>3974.9760000000001</v>
      </c>
      <c r="AL111" s="44">
        <v>0</v>
      </c>
      <c r="AM111" s="44">
        <v>0</v>
      </c>
      <c r="AN111" s="44">
        <v>0</v>
      </c>
      <c r="AO111" s="44">
        <v>0</v>
      </c>
      <c r="AP111" s="44">
        <v>0</v>
      </c>
      <c r="AQ111" s="44">
        <v>0</v>
      </c>
      <c r="AR111" s="44">
        <v>0</v>
      </c>
      <c r="AS111" s="44">
        <v>0</v>
      </c>
      <c r="AT111" s="44">
        <v>747071.04339999997</v>
      </c>
      <c r="AU111" s="44">
        <v>415594.95903700968</v>
      </c>
      <c r="AV111" s="44">
        <v>142218.516</v>
      </c>
      <c r="AW111" s="44">
        <v>265117.02856642863</v>
      </c>
      <c r="AX111" s="62">
        <v>1304884.5184370098</v>
      </c>
      <c r="AY111" s="62">
        <v>1300909.5424370097</v>
      </c>
      <c r="AZ111" s="62">
        <v>4610</v>
      </c>
      <c r="BA111" s="62">
        <v>963490</v>
      </c>
      <c r="BB111" s="62">
        <v>0</v>
      </c>
      <c r="BC111" s="62">
        <v>0</v>
      </c>
      <c r="BD111" s="62">
        <v>1304884.5184370098</v>
      </c>
      <c r="BE111" s="44">
        <v>1304884.5184370098</v>
      </c>
      <c r="BF111" s="44">
        <v>0</v>
      </c>
      <c r="BG111" s="62">
        <v>967464.97600000002</v>
      </c>
      <c r="BH111" s="62">
        <v>825246.46</v>
      </c>
      <c r="BI111" s="44">
        <v>1162666.0024370097</v>
      </c>
      <c r="BJ111" s="44">
        <v>5562.9952269713385</v>
      </c>
      <c r="BK111" s="44">
        <v>5540.4653445544554</v>
      </c>
      <c r="BL111" s="45">
        <v>4.0664242109242641E-3</v>
      </c>
      <c r="BM111" s="45">
        <v>9.3357578907573603E-4</v>
      </c>
      <c r="BN111" s="44">
        <v>1081.0408599308419</v>
      </c>
      <c r="BO111" s="62">
        <v>1305965.5592969407</v>
      </c>
      <c r="BP111" s="62">
        <v>6229.6200157748353</v>
      </c>
      <c r="BQ111" s="62" t="s">
        <v>92</v>
      </c>
      <c r="BR111" s="62">
        <v>6248.6390396982806</v>
      </c>
      <c r="BS111" s="53">
        <v>4.2537953386623251E-4</v>
      </c>
      <c r="BT111" s="44">
        <v>-5239.63</v>
      </c>
      <c r="BU111" s="44">
        <v>1300725.9292969408</v>
      </c>
      <c r="BV111" s="44">
        <v>0</v>
      </c>
      <c r="BW111" s="44">
        <v>1300725.9292969408</v>
      </c>
      <c r="BX111" s="44">
        <v>3974.9760000000001</v>
      </c>
      <c r="BY111" s="44">
        <v>1296750.9532969408</v>
      </c>
    </row>
    <row r="112" spans="1:77">
      <c r="A112">
        <v>3317</v>
      </c>
      <c r="B112" s="60">
        <v>103421</v>
      </c>
      <c r="C112" s="60">
        <v>3303317</v>
      </c>
      <c r="D112" s="61" t="s">
        <v>161</v>
      </c>
      <c r="E112" s="52">
        <v>194</v>
      </c>
      <c r="F112" s="52">
        <v>194</v>
      </c>
      <c r="G112" s="52">
        <v>0</v>
      </c>
      <c r="H112" s="44">
        <v>693453.50439999998</v>
      </c>
      <c r="I112" s="44">
        <v>0</v>
      </c>
      <c r="J112" s="44">
        <v>0</v>
      </c>
      <c r="K112" s="44">
        <v>45729.950699999994</v>
      </c>
      <c r="L112" s="44">
        <v>0</v>
      </c>
      <c r="M112" s="44">
        <v>76527.672599999991</v>
      </c>
      <c r="N112" s="44">
        <v>0</v>
      </c>
      <c r="O112" s="44">
        <v>235.82479999999993</v>
      </c>
      <c r="P112" s="44">
        <v>16016.016800000001</v>
      </c>
      <c r="Q112" s="44">
        <v>30812.771100000042</v>
      </c>
      <c r="R112" s="44">
        <v>26281.924200000041</v>
      </c>
      <c r="S112" s="44">
        <v>3100.845600000001</v>
      </c>
      <c r="T112" s="44">
        <v>2047.1604000000007</v>
      </c>
      <c r="U112" s="44">
        <v>0</v>
      </c>
      <c r="V112" s="44">
        <v>0</v>
      </c>
      <c r="W112" s="44">
        <v>0</v>
      </c>
      <c r="X112" s="44">
        <v>0</v>
      </c>
      <c r="Y112" s="44">
        <v>0</v>
      </c>
      <c r="Z112" s="44">
        <v>0</v>
      </c>
      <c r="AA112" s="44">
        <v>38732.452132558094</v>
      </c>
      <c r="AB112" s="44">
        <v>0</v>
      </c>
      <c r="AC112" s="44">
        <v>101099.89514794236</v>
      </c>
      <c r="AD112" s="44">
        <v>0</v>
      </c>
      <c r="AE112" s="44">
        <v>8053.7698560000663</v>
      </c>
      <c r="AF112" s="44">
        <v>0</v>
      </c>
      <c r="AG112" s="44">
        <v>138243.54</v>
      </c>
      <c r="AH112" s="44">
        <v>0</v>
      </c>
      <c r="AI112" s="44">
        <v>0</v>
      </c>
      <c r="AJ112" s="44">
        <v>0</v>
      </c>
      <c r="AK112" s="44">
        <v>5246.9642000000003</v>
      </c>
      <c r="AL112" s="44">
        <v>0</v>
      </c>
      <c r="AM112" s="44">
        <v>0</v>
      </c>
      <c r="AN112" s="44">
        <v>0</v>
      </c>
      <c r="AO112" s="44">
        <v>0</v>
      </c>
      <c r="AP112" s="44">
        <v>0</v>
      </c>
      <c r="AQ112" s="44">
        <v>0</v>
      </c>
      <c r="AR112" s="44">
        <v>0</v>
      </c>
      <c r="AS112" s="44">
        <v>0</v>
      </c>
      <c r="AT112" s="44">
        <v>693453.50439999998</v>
      </c>
      <c r="AU112" s="44">
        <v>348638.28333650064</v>
      </c>
      <c r="AV112" s="44">
        <v>143490.5042</v>
      </c>
      <c r="AW112" s="44">
        <v>236148.65346794241</v>
      </c>
      <c r="AX112" s="62">
        <v>1185582.2919365007</v>
      </c>
      <c r="AY112" s="62">
        <v>1180335.3277365007</v>
      </c>
      <c r="AZ112" s="62">
        <v>4610</v>
      </c>
      <c r="BA112" s="62">
        <v>894340</v>
      </c>
      <c r="BB112" s="62">
        <v>0</v>
      </c>
      <c r="BC112" s="62">
        <v>0</v>
      </c>
      <c r="BD112" s="62">
        <v>1185582.2919365007</v>
      </c>
      <c r="BE112" s="44">
        <v>1185582.2919365007</v>
      </c>
      <c r="BF112" s="44">
        <v>0</v>
      </c>
      <c r="BG112" s="62">
        <v>899586.96420000005</v>
      </c>
      <c r="BH112" s="62">
        <v>756096.46</v>
      </c>
      <c r="BI112" s="44">
        <v>1042091.7877365006</v>
      </c>
      <c r="BJ112" s="44">
        <v>5371.607153280931</v>
      </c>
      <c r="BK112" s="44">
        <v>5279.7473245098045</v>
      </c>
      <c r="BL112" s="45">
        <v>1.739852745314005E-2</v>
      </c>
      <c r="BM112" s="45">
        <v>0</v>
      </c>
      <c r="BN112" s="44">
        <v>0</v>
      </c>
      <c r="BO112" s="62">
        <v>1185582.2919365007</v>
      </c>
      <c r="BP112" s="62">
        <v>6084.2027202912404</v>
      </c>
      <c r="BQ112" s="62" t="s">
        <v>92</v>
      </c>
      <c r="BR112" s="62">
        <v>6111.248927507736</v>
      </c>
      <c r="BS112" s="53">
        <v>2.2575653970924536E-2</v>
      </c>
      <c r="BT112" s="44">
        <v>-4863.58</v>
      </c>
      <c r="BU112" s="44">
        <v>1180718.7119365006</v>
      </c>
      <c r="BV112" s="44">
        <v>0</v>
      </c>
      <c r="BW112" s="44">
        <v>1180718.7119365006</v>
      </c>
      <c r="BX112" s="44">
        <v>5246.9642000000003</v>
      </c>
      <c r="BY112" s="44">
        <v>1175471.7477365006</v>
      </c>
    </row>
    <row r="113" spans="1:77">
      <c r="A113">
        <v>3319</v>
      </c>
      <c r="B113" s="60">
        <v>103423</v>
      </c>
      <c r="C113" s="60">
        <v>3303319</v>
      </c>
      <c r="D113" s="61" t="s">
        <v>278</v>
      </c>
      <c r="E113" s="52">
        <v>348</v>
      </c>
      <c r="F113" s="52">
        <v>348</v>
      </c>
      <c r="G113" s="52">
        <v>0</v>
      </c>
      <c r="H113" s="44">
        <v>1243926.9047999999</v>
      </c>
      <c r="I113" s="44">
        <v>0</v>
      </c>
      <c r="J113" s="44">
        <v>0</v>
      </c>
      <c r="K113" s="44">
        <v>71299.385500000062</v>
      </c>
      <c r="L113" s="44">
        <v>0</v>
      </c>
      <c r="M113" s="44">
        <v>120963.09539999993</v>
      </c>
      <c r="N113" s="44">
        <v>0</v>
      </c>
      <c r="O113" s="44">
        <v>4952.3208000000004</v>
      </c>
      <c r="P113" s="44">
        <v>3146.0033000000049</v>
      </c>
      <c r="Q113" s="44">
        <v>8038.1142000000027</v>
      </c>
      <c r="R113" s="44">
        <v>24821.817299999992</v>
      </c>
      <c r="S113" s="44">
        <v>83206.023600000088</v>
      </c>
      <c r="T113" s="44">
        <v>17742.056799999995</v>
      </c>
      <c r="U113" s="44">
        <v>0</v>
      </c>
      <c r="V113" s="44">
        <v>0</v>
      </c>
      <c r="W113" s="44">
        <v>0</v>
      </c>
      <c r="X113" s="44">
        <v>0</v>
      </c>
      <c r="Y113" s="44">
        <v>0</v>
      </c>
      <c r="Z113" s="44">
        <v>0</v>
      </c>
      <c r="AA113" s="44">
        <v>30019.170929801414</v>
      </c>
      <c r="AB113" s="44">
        <v>0</v>
      </c>
      <c r="AC113" s="44">
        <v>142776.08160069803</v>
      </c>
      <c r="AD113" s="44">
        <v>0</v>
      </c>
      <c r="AE113" s="44">
        <v>0</v>
      </c>
      <c r="AF113" s="44">
        <v>0</v>
      </c>
      <c r="AG113" s="44">
        <v>138243.54</v>
      </c>
      <c r="AH113" s="44">
        <v>0</v>
      </c>
      <c r="AI113" s="44">
        <v>0</v>
      </c>
      <c r="AJ113" s="44">
        <v>0</v>
      </c>
      <c r="AK113" s="44">
        <v>5273.4660999999996</v>
      </c>
      <c r="AL113" s="44">
        <v>0</v>
      </c>
      <c r="AM113" s="44">
        <v>0</v>
      </c>
      <c r="AN113" s="44">
        <v>0</v>
      </c>
      <c r="AO113" s="44">
        <v>0</v>
      </c>
      <c r="AP113" s="44">
        <v>0</v>
      </c>
      <c r="AQ113" s="44">
        <v>0</v>
      </c>
      <c r="AR113" s="44">
        <v>0</v>
      </c>
      <c r="AS113" s="44">
        <v>0</v>
      </c>
      <c r="AT113" s="44">
        <v>1243926.9047999999</v>
      </c>
      <c r="AU113" s="44">
        <v>506964.06943049957</v>
      </c>
      <c r="AV113" s="44">
        <v>143517.0061</v>
      </c>
      <c r="AW113" s="44">
        <v>372056.83529069804</v>
      </c>
      <c r="AX113" s="62">
        <v>1894407.9803304994</v>
      </c>
      <c r="AY113" s="62">
        <v>1889134.5142304993</v>
      </c>
      <c r="AZ113" s="62">
        <v>4610</v>
      </c>
      <c r="BA113" s="62">
        <v>1604280</v>
      </c>
      <c r="BB113" s="62">
        <v>0</v>
      </c>
      <c r="BC113" s="62">
        <v>0</v>
      </c>
      <c r="BD113" s="62">
        <v>1894407.9803304994</v>
      </c>
      <c r="BE113" s="44">
        <v>1894407.9803304994</v>
      </c>
      <c r="BF113" s="44">
        <v>0</v>
      </c>
      <c r="BG113" s="62">
        <v>1609553.4661000001</v>
      </c>
      <c r="BH113" s="62">
        <v>1466036.46</v>
      </c>
      <c r="BI113" s="44">
        <v>1750890.9742304992</v>
      </c>
      <c r="BJ113" s="44">
        <v>5031.2959029612048</v>
      </c>
      <c r="BK113" s="44">
        <v>4975.4506691460056</v>
      </c>
      <c r="BL113" s="45">
        <v>1.1224155866223185E-2</v>
      </c>
      <c r="BM113" s="45">
        <v>0</v>
      </c>
      <c r="BN113" s="44">
        <v>0</v>
      </c>
      <c r="BO113" s="62">
        <v>1894407.9803304994</v>
      </c>
      <c r="BP113" s="62">
        <v>5428.5474546853429</v>
      </c>
      <c r="BQ113" s="62" t="s">
        <v>92</v>
      </c>
      <c r="BR113" s="62">
        <v>5443.7010929037342</v>
      </c>
      <c r="BS113" s="53">
        <v>1.3664135030061697E-2</v>
      </c>
      <c r="BT113" s="44">
        <v>-8724.36</v>
      </c>
      <c r="BU113" s="44">
        <v>1885683.6203304993</v>
      </c>
      <c r="BV113" s="44">
        <v>0</v>
      </c>
      <c r="BW113" s="44">
        <v>1885683.6203304993</v>
      </c>
      <c r="BX113" s="44">
        <v>5273.4660999999996</v>
      </c>
      <c r="BY113" s="44">
        <v>1880410.1542304992</v>
      </c>
    </row>
    <row r="114" spans="1:77">
      <c r="A114">
        <v>3320</v>
      </c>
      <c r="B114" s="60">
        <v>103424</v>
      </c>
      <c r="C114" s="60">
        <v>3303320</v>
      </c>
      <c r="D114" s="61" t="s">
        <v>623</v>
      </c>
      <c r="E114" s="52">
        <v>418</v>
      </c>
      <c r="F114" s="52">
        <v>418</v>
      </c>
      <c r="G114" s="52">
        <v>0</v>
      </c>
      <c r="H114" s="44">
        <v>1494142.0867999999</v>
      </c>
      <c r="I114" s="44">
        <v>0</v>
      </c>
      <c r="J114" s="44">
        <v>0</v>
      </c>
      <c r="K114" s="44">
        <v>110636.97749999991</v>
      </c>
      <c r="L114" s="44">
        <v>0</v>
      </c>
      <c r="M114" s="44">
        <v>195845.0116</v>
      </c>
      <c r="N114" s="44">
        <v>0</v>
      </c>
      <c r="O114" s="44">
        <v>14385.312800000002</v>
      </c>
      <c r="P114" s="44">
        <v>26884.028200000048</v>
      </c>
      <c r="Q114" s="44">
        <v>11164.047500000002</v>
      </c>
      <c r="R114" s="44">
        <v>37476.0770999999</v>
      </c>
      <c r="S114" s="44">
        <v>25323.572399999972</v>
      </c>
      <c r="T114" s="44">
        <v>64826.745999999919</v>
      </c>
      <c r="U114" s="44">
        <v>0</v>
      </c>
      <c r="V114" s="44">
        <v>0</v>
      </c>
      <c r="W114" s="44">
        <v>0</v>
      </c>
      <c r="X114" s="44">
        <v>0</v>
      </c>
      <c r="Y114" s="44">
        <v>0</v>
      </c>
      <c r="Z114" s="44">
        <v>0</v>
      </c>
      <c r="AA114" s="44">
        <v>30492.499589111685</v>
      </c>
      <c r="AB114" s="44">
        <v>0</v>
      </c>
      <c r="AC114" s="44">
        <v>177334.33754145887</v>
      </c>
      <c r="AD114" s="44">
        <v>0</v>
      </c>
      <c r="AE114" s="44">
        <v>886.3000319999835</v>
      </c>
      <c r="AF114" s="44">
        <v>0</v>
      </c>
      <c r="AG114" s="44">
        <v>138243.54</v>
      </c>
      <c r="AH114" s="44">
        <v>0</v>
      </c>
      <c r="AI114" s="44">
        <v>0</v>
      </c>
      <c r="AJ114" s="44">
        <v>0</v>
      </c>
      <c r="AK114" s="44">
        <v>3868.9787000000001</v>
      </c>
      <c r="AL114" s="44">
        <v>0</v>
      </c>
      <c r="AM114" s="44">
        <v>0</v>
      </c>
      <c r="AN114" s="44">
        <v>0</v>
      </c>
      <c r="AO114" s="44">
        <v>0</v>
      </c>
      <c r="AP114" s="44">
        <v>0</v>
      </c>
      <c r="AQ114" s="44">
        <v>0</v>
      </c>
      <c r="AR114" s="44">
        <v>0</v>
      </c>
      <c r="AS114" s="44">
        <v>0</v>
      </c>
      <c r="AT114" s="44">
        <v>1494142.0867999999</v>
      </c>
      <c r="AU114" s="44">
        <v>695254.91026257025</v>
      </c>
      <c r="AV114" s="44">
        <v>142112.51870000002</v>
      </c>
      <c r="AW114" s="44">
        <v>495312.32843145879</v>
      </c>
      <c r="AX114" s="62">
        <v>2331509.5157625703</v>
      </c>
      <c r="AY114" s="62">
        <v>2327640.5370625705</v>
      </c>
      <c r="AZ114" s="62">
        <v>4610</v>
      </c>
      <c r="BA114" s="62">
        <v>1926980</v>
      </c>
      <c r="BB114" s="62">
        <v>0</v>
      </c>
      <c r="BC114" s="62">
        <v>0</v>
      </c>
      <c r="BD114" s="62">
        <v>2331509.5157625703</v>
      </c>
      <c r="BE114" s="44">
        <v>2331509.5157625698</v>
      </c>
      <c r="BF114" s="44">
        <v>0</v>
      </c>
      <c r="BG114" s="62">
        <v>1930848.9787000001</v>
      </c>
      <c r="BH114" s="62">
        <v>1788736.46</v>
      </c>
      <c r="BI114" s="44">
        <v>2189396.9970625704</v>
      </c>
      <c r="BJ114" s="44">
        <v>5237.7918590013651</v>
      </c>
      <c r="BK114" s="44">
        <v>5100.8397893300244</v>
      </c>
      <c r="BL114" s="45">
        <v>2.6848925927416521E-2</v>
      </c>
      <c r="BM114" s="45">
        <v>0</v>
      </c>
      <c r="BN114" s="44">
        <v>0</v>
      </c>
      <c r="BO114" s="62">
        <v>2331509.5157625703</v>
      </c>
      <c r="BP114" s="62">
        <v>5568.5180312501689</v>
      </c>
      <c r="BQ114" s="62" t="s">
        <v>92</v>
      </c>
      <c r="BR114" s="62">
        <v>5577.7739611544748</v>
      </c>
      <c r="BS114" s="53">
        <v>2.2210559465461577E-2</v>
      </c>
      <c r="BT114" s="44">
        <v>-10479.26</v>
      </c>
      <c r="BU114" s="44">
        <v>2321030.2557625705</v>
      </c>
      <c r="BV114" s="44">
        <v>0</v>
      </c>
      <c r="BW114" s="44">
        <v>2321030.2557625705</v>
      </c>
      <c r="BX114" s="44">
        <v>3868.9787000000001</v>
      </c>
      <c r="BY114" s="44">
        <v>2317161.2770625707</v>
      </c>
    </row>
    <row r="115" spans="1:77">
      <c r="A115">
        <v>3321</v>
      </c>
      <c r="B115" s="60">
        <v>103425</v>
      </c>
      <c r="C115" s="60">
        <v>3303321</v>
      </c>
      <c r="D115" s="61" t="s">
        <v>458</v>
      </c>
      <c r="E115" s="52">
        <v>359</v>
      </c>
      <c r="F115" s="52">
        <v>359</v>
      </c>
      <c r="G115" s="52">
        <v>0</v>
      </c>
      <c r="H115" s="44">
        <v>1283246.4334</v>
      </c>
      <c r="I115" s="44">
        <v>0</v>
      </c>
      <c r="J115" s="44">
        <v>0</v>
      </c>
      <c r="K115" s="44">
        <v>69824.225799999957</v>
      </c>
      <c r="L115" s="44">
        <v>0</v>
      </c>
      <c r="M115" s="44">
        <v>118494.46080000007</v>
      </c>
      <c r="N115" s="44">
        <v>0</v>
      </c>
      <c r="O115" s="44">
        <v>2358.2479999999982</v>
      </c>
      <c r="P115" s="44">
        <v>36608.038400000049</v>
      </c>
      <c r="Q115" s="44">
        <v>47782.123299999999</v>
      </c>
      <c r="R115" s="44">
        <v>36502.672500000059</v>
      </c>
      <c r="S115" s="44">
        <v>6718.4987999999985</v>
      </c>
      <c r="T115" s="44">
        <v>4094.3208000000072</v>
      </c>
      <c r="U115" s="44">
        <v>0</v>
      </c>
      <c r="V115" s="44">
        <v>0</v>
      </c>
      <c r="W115" s="44">
        <v>0</v>
      </c>
      <c r="X115" s="44">
        <v>0</v>
      </c>
      <c r="Y115" s="44">
        <v>0</v>
      </c>
      <c r="Z115" s="44">
        <v>0</v>
      </c>
      <c r="AA115" s="44">
        <v>69325.126241846127</v>
      </c>
      <c r="AB115" s="44">
        <v>0</v>
      </c>
      <c r="AC115" s="44">
        <v>133548.1489799656</v>
      </c>
      <c r="AD115" s="44">
        <v>0</v>
      </c>
      <c r="AE115" s="44">
        <v>7186.7372160000014</v>
      </c>
      <c r="AF115" s="44">
        <v>0</v>
      </c>
      <c r="AG115" s="44">
        <v>138243.54</v>
      </c>
      <c r="AH115" s="44">
        <v>0</v>
      </c>
      <c r="AI115" s="44">
        <v>0</v>
      </c>
      <c r="AJ115" s="44">
        <v>0</v>
      </c>
      <c r="AK115" s="44">
        <v>3815.9749000000002</v>
      </c>
      <c r="AL115" s="44">
        <v>0</v>
      </c>
      <c r="AM115" s="44">
        <v>0</v>
      </c>
      <c r="AN115" s="44">
        <v>0</v>
      </c>
      <c r="AO115" s="44">
        <v>0</v>
      </c>
      <c r="AP115" s="44">
        <v>0</v>
      </c>
      <c r="AQ115" s="44">
        <v>0</v>
      </c>
      <c r="AR115" s="44">
        <v>0</v>
      </c>
      <c r="AS115" s="44">
        <v>0</v>
      </c>
      <c r="AT115" s="44">
        <v>1283246.4334</v>
      </c>
      <c r="AU115" s="44">
        <v>532442.60083781183</v>
      </c>
      <c r="AV115" s="44">
        <v>142059.51490000001</v>
      </c>
      <c r="AW115" s="44">
        <v>358901.76484996564</v>
      </c>
      <c r="AX115" s="62">
        <v>1957748.5491378119</v>
      </c>
      <c r="AY115" s="62">
        <v>1953932.5742378118</v>
      </c>
      <c r="AZ115" s="62">
        <v>4610</v>
      </c>
      <c r="BA115" s="62">
        <v>1654990</v>
      </c>
      <c r="BB115" s="62">
        <v>0</v>
      </c>
      <c r="BC115" s="62">
        <v>0</v>
      </c>
      <c r="BD115" s="62">
        <v>1957748.5491378119</v>
      </c>
      <c r="BE115" s="44">
        <v>1957748.5491378119</v>
      </c>
      <c r="BF115" s="44">
        <v>0</v>
      </c>
      <c r="BG115" s="62">
        <v>1658805.9749</v>
      </c>
      <c r="BH115" s="62">
        <v>1516746.46</v>
      </c>
      <c r="BI115" s="44">
        <v>1815689.0342378118</v>
      </c>
      <c r="BJ115" s="44">
        <v>5057.629621832345</v>
      </c>
      <c r="BK115" s="44">
        <v>4975.2711335092345</v>
      </c>
      <c r="BL115" s="45">
        <v>1.6553567858525978E-2</v>
      </c>
      <c r="BM115" s="45">
        <v>0</v>
      </c>
      <c r="BN115" s="44">
        <v>0</v>
      </c>
      <c r="BO115" s="62">
        <v>1957748.5491378119</v>
      </c>
      <c r="BP115" s="62">
        <v>5442.7091204395874</v>
      </c>
      <c r="BQ115" s="62" t="s">
        <v>92</v>
      </c>
      <c r="BR115" s="62">
        <v>5453.3385769855486</v>
      </c>
      <c r="BS115" s="53">
        <v>1.9326887875526388E-2</v>
      </c>
      <c r="BT115" s="44">
        <v>-9000.1299999999992</v>
      </c>
      <c r="BU115" s="44">
        <v>1948748.419137812</v>
      </c>
      <c r="BV115" s="44">
        <v>0</v>
      </c>
      <c r="BW115" s="44">
        <v>1948748.419137812</v>
      </c>
      <c r="BX115" s="44">
        <v>3815.9749000000002</v>
      </c>
      <c r="BY115" s="44">
        <v>1944932.444237812</v>
      </c>
    </row>
    <row r="116" spans="1:77">
      <c r="A116">
        <v>3322</v>
      </c>
      <c r="B116" s="60">
        <v>103426</v>
      </c>
      <c r="C116" s="60">
        <v>3303322</v>
      </c>
      <c r="D116" s="61" t="s">
        <v>330</v>
      </c>
      <c r="E116" s="52">
        <v>205</v>
      </c>
      <c r="F116" s="52">
        <v>205</v>
      </c>
      <c r="G116" s="52">
        <v>0</v>
      </c>
      <c r="H116" s="44">
        <v>732773.03299999994</v>
      </c>
      <c r="I116" s="44">
        <v>0</v>
      </c>
      <c r="J116" s="44">
        <v>0</v>
      </c>
      <c r="K116" s="44">
        <v>36387.27260000004</v>
      </c>
      <c r="L116" s="44">
        <v>0</v>
      </c>
      <c r="M116" s="44">
        <v>62538.743199999975</v>
      </c>
      <c r="N116" s="44">
        <v>0</v>
      </c>
      <c r="O116" s="44">
        <v>7310.5688000000027</v>
      </c>
      <c r="P116" s="44">
        <v>10010.010499999989</v>
      </c>
      <c r="Q116" s="44">
        <v>446.56189999999947</v>
      </c>
      <c r="R116" s="44">
        <v>1460.1068999999984</v>
      </c>
      <c r="S116" s="44">
        <v>19638.688800000044</v>
      </c>
      <c r="T116" s="44">
        <v>5459.0943999999936</v>
      </c>
      <c r="U116" s="44">
        <v>0</v>
      </c>
      <c r="V116" s="44">
        <v>0</v>
      </c>
      <c r="W116" s="44">
        <v>0</v>
      </c>
      <c r="X116" s="44">
        <v>0</v>
      </c>
      <c r="Y116" s="44">
        <v>0</v>
      </c>
      <c r="Z116" s="44">
        <v>0</v>
      </c>
      <c r="AA116" s="44">
        <v>14564.94414</v>
      </c>
      <c r="AB116" s="44">
        <v>0</v>
      </c>
      <c r="AC116" s="44">
        <v>73988.190705994901</v>
      </c>
      <c r="AD116" s="44">
        <v>0</v>
      </c>
      <c r="AE116" s="44">
        <v>0</v>
      </c>
      <c r="AF116" s="44">
        <v>0</v>
      </c>
      <c r="AG116" s="44">
        <v>138243.54</v>
      </c>
      <c r="AH116" s="44">
        <v>0</v>
      </c>
      <c r="AI116" s="44">
        <v>0</v>
      </c>
      <c r="AJ116" s="44">
        <v>0</v>
      </c>
      <c r="AK116" s="44">
        <v>4239.9744000000001</v>
      </c>
      <c r="AL116" s="44">
        <v>0</v>
      </c>
      <c r="AM116" s="44">
        <v>0</v>
      </c>
      <c r="AN116" s="44">
        <v>0</v>
      </c>
      <c r="AO116" s="44">
        <v>0</v>
      </c>
      <c r="AP116" s="44">
        <v>0</v>
      </c>
      <c r="AQ116" s="44">
        <v>0</v>
      </c>
      <c r="AR116" s="44">
        <v>0</v>
      </c>
      <c r="AS116" s="44">
        <v>0</v>
      </c>
      <c r="AT116" s="44">
        <v>732773.03299999994</v>
      </c>
      <c r="AU116" s="44">
        <v>231804.18194599496</v>
      </c>
      <c r="AV116" s="44">
        <v>142483.51440000001</v>
      </c>
      <c r="AW116" s="44">
        <v>182252.3659059949</v>
      </c>
      <c r="AX116" s="62">
        <v>1107060.729345995</v>
      </c>
      <c r="AY116" s="62">
        <v>1102820.7549459951</v>
      </c>
      <c r="AZ116" s="62">
        <v>4610</v>
      </c>
      <c r="BA116" s="62">
        <v>945050</v>
      </c>
      <c r="BB116" s="62">
        <v>0</v>
      </c>
      <c r="BC116" s="62">
        <v>0</v>
      </c>
      <c r="BD116" s="62">
        <v>1107060.729345995</v>
      </c>
      <c r="BE116" s="44">
        <v>1107060.7293459948</v>
      </c>
      <c r="BF116" s="44">
        <v>0</v>
      </c>
      <c r="BG116" s="62">
        <v>949289.97439999995</v>
      </c>
      <c r="BH116" s="62">
        <v>806806.46</v>
      </c>
      <c r="BI116" s="44">
        <v>964577.21494599502</v>
      </c>
      <c r="BJ116" s="44">
        <v>4705.2547070536339</v>
      </c>
      <c r="BK116" s="44">
        <v>4681.8692024154589</v>
      </c>
      <c r="BL116" s="45">
        <v>4.994907723203804E-3</v>
      </c>
      <c r="BM116" s="45">
        <v>5.0922767961961504E-6</v>
      </c>
      <c r="BN116" s="44">
        <v>4.8874816499685521</v>
      </c>
      <c r="BO116" s="62">
        <v>1107065.6168276449</v>
      </c>
      <c r="BP116" s="62">
        <v>5379.6372801348534</v>
      </c>
      <c r="BQ116" s="62" t="s">
        <v>92</v>
      </c>
      <c r="BR116" s="62">
        <v>5400.3200820860729</v>
      </c>
      <c r="BS116" s="53">
        <v>6.0939526275525235E-3</v>
      </c>
      <c r="BT116" s="44">
        <v>-5139.3500000000004</v>
      </c>
      <c r="BU116" s="44">
        <v>1101926.2668276448</v>
      </c>
      <c r="BV116" s="44">
        <v>0</v>
      </c>
      <c r="BW116" s="44">
        <v>1101926.2668276448</v>
      </c>
      <c r="BX116" s="44">
        <v>4239.9744000000001</v>
      </c>
      <c r="BY116" s="44">
        <v>1097686.2924276448</v>
      </c>
    </row>
    <row r="117" spans="1:77">
      <c r="A117">
        <v>3323</v>
      </c>
      <c r="B117" s="60">
        <v>103427</v>
      </c>
      <c r="C117" s="60">
        <v>3303323</v>
      </c>
      <c r="D117" s="61" t="s">
        <v>378</v>
      </c>
      <c r="E117" s="52">
        <v>195</v>
      </c>
      <c r="F117" s="52">
        <v>195</v>
      </c>
      <c r="G117" s="52">
        <v>0</v>
      </c>
      <c r="H117" s="44">
        <v>697028.00699999998</v>
      </c>
      <c r="I117" s="44">
        <v>0</v>
      </c>
      <c r="J117" s="44">
        <v>0</v>
      </c>
      <c r="K117" s="44">
        <v>44746.510900000038</v>
      </c>
      <c r="L117" s="44">
        <v>0</v>
      </c>
      <c r="M117" s="44">
        <v>76527.672600000005</v>
      </c>
      <c r="N117" s="44">
        <v>0</v>
      </c>
      <c r="O117" s="44">
        <v>0</v>
      </c>
      <c r="P117" s="44">
        <v>858.00090000000068</v>
      </c>
      <c r="Q117" s="44">
        <v>15183.104599999968</v>
      </c>
      <c r="R117" s="44">
        <v>3406.9161000000004</v>
      </c>
      <c r="S117" s="44">
        <v>24289.957199999997</v>
      </c>
      <c r="T117" s="44">
        <v>36848.887200000012</v>
      </c>
      <c r="U117" s="44">
        <v>0</v>
      </c>
      <c r="V117" s="44">
        <v>0</v>
      </c>
      <c r="W117" s="44">
        <v>0</v>
      </c>
      <c r="X117" s="44">
        <v>0</v>
      </c>
      <c r="Y117" s="44">
        <v>0</v>
      </c>
      <c r="Z117" s="44">
        <v>0</v>
      </c>
      <c r="AA117" s="44">
        <v>33674.032437500042</v>
      </c>
      <c r="AB117" s="44">
        <v>0</v>
      </c>
      <c r="AC117" s="44">
        <v>109150.80012249378</v>
      </c>
      <c r="AD117" s="44">
        <v>0</v>
      </c>
      <c r="AE117" s="44">
        <v>3253.6070202061887</v>
      </c>
      <c r="AF117" s="44">
        <v>0</v>
      </c>
      <c r="AG117" s="44">
        <v>138243.54</v>
      </c>
      <c r="AH117" s="44">
        <v>0</v>
      </c>
      <c r="AI117" s="44">
        <v>0</v>
      </c>
      <c r="AJ117" s="44">
        <v>0</v>
      </c>
      <c r="AK117" s="44">
        <v>3285.9780999999998</v>
      </c>
      <c r="AL117" s="44">
        <v>0</v>
      </c>
      <c r="AM117" s="44">
        <v>0</v>
      </c>
      <c r="AN117" s="44">
        <v>0</v>
      </c>
      <c r="AO117" s="44">
        <v>0</v>
      </c>
      <c r="AP117" s="44">
        <v>0</v>
      </c>
      <c r="AQ117" s="44">
        <v>0</v>
      </c>
      <c r="AR117" s="44">
        <v>0</v>
      </c>
      <c r="AS117" s="44">
        <v>0</v>
      </c>
      <c r="AT117" s="44">
        <v>697028.00699999998</v>
      </c>
      <c r="AU117" s="44">
        <v>347939.48908020003</v>
      </c>
      <c r="AV117" s="44">
        <v>141529.51810000002</v>
      </c>
      <c r="AW117" s="44">
        <v>244932.72522249381</v>
      </c>
      <c r="AX117" s="62">
        <v>1186497.0141801999</v>
      </c>
      <c r="AY117" s="62">
        <v>1183211.0360802</v>
      </c>
      <c r="AZ117" s="62">
        <v>4610</v>
      </c>
      <c r="BA117" s="62">
        <v>898950</v>
      </c>
      <c r="BB117" s="62">
        <v>0</v>
      </c>
      <c r="BC117" s="62">
        <v>0</v>
      </c>
      <c r="BD117" s="62">
        <v>1186497.0141801999</v>
      </c>
      <c r="BE117" s="44">
        <v>1186497.0141801999</v>
      </c>
      <c r="BF117" s="44">
        <v>0</v>
      </c>
      <c r="BG117" s="62">
        <v>902235.97809999995</v>
      </c>
      <c r="BH117" s="62">
        <v>760706.46</v>
      </c>
      <c r="BI117" s="44">
        <v>1044967.4960802</v>
      </c>
      <c r="BJ117" s="44">
        <v>5358.8076722061533</v>
      </c>
      <c r="BK117" s="44">
        <v>5123.27316185567</v>
      </c>
      <c r="BL117" s="45">
        <v>4.5973443716432985E-2</v>
      </c>
      <c r="BM117" s="45">
        <v>0</v>
      </c>
      <c r="BN117" s="44">
        <v>0</v>
      </c>
      <c r="BO117" s="62">
        <v>1186497.0141801999</v>
      </c>
      <c r="BP117" s="62">
        <v>6067.7489029753842</v>
      </c>
      <c r="BQ117" s="62" t="s">
        <v>92</v>
      </c>
      <c r="BR117" s="62">
        <v>6084.6000727189739</v>
      </c>
      <c r="BS117" s="53">
        <v>3.88439419920108E-2</v>
      </c>
      <c r="BT117" s="44">
        <v>-4888.6499999999996</v>
      </c>
      <c r="BU117" s="44">
        <v>1181608.3641802</v>
      </c>
      <c r="BV117" s="44">
        <v>0</v>
      </c>
      <c r="BW117" s="44">
        <v>1181608.3641802</v>
      </c>
      <c r="BX117" s="44">
        <v>3285.9780999999998</v>
      </c>
      <c r="BY117" s="44">
        <v>1178322.3860802001</v>
      </c>
    </row>
    <row r="118" spans="1:77">
      <c r="A118">
        <v>3328</v>
      </c>
      <c r="B118" s="60">
        <v>103430</v>
      </c>
      <c r="C118" s="60">
        <v>3303328</v>
      </c>
      <c r="D118" s="61" t="s">
        <v>494</v>
      </c>
      <c r="E118" s="52">
        <v>208</v>
      </c>
      <c r="F118" s="52">
        <v>208</v>
      </c>
      <c r="G118" s="52">
        <v>0</v>
      </c>
      <c r="H118" s="44">
        <v>743496.54079999996</v>
      </c>
      <c r="I118" s="44">
        <v>0</v>
      </c>
      <c r="J118" s="44">
        <v>0</v>
      </c>
      <c r="K118" s="44">
        <v>20652.235800000009</v>
      </c>
      <c r="L118" s="44">
        <v>0</v>
      </c>
      <c r="M118" s="44">
        <v>34560.884400000017</v>
      </c>
      <c r="N118" s="44">
        <v>0</v>
      </c>
      <c r="O118" s="44">
        <v>707.47439999999892</v>
      </c>
      <c r="P118" s="44">
        <v>8294.008700000004</v>
      </c>
      <c r="Q118" s="44">
        <v>15629.666500000021</v>
      </c>
      <c r="R118" s="44">
        <v>2433.511499999996</v>
      </c>
      <c r="S118" s="44">
        <v>19638.688800000033</v>
      </c>
      <c r="T118" s="44">
        <v>8188.6416000000008</v>
      </c>
      <c r="U118" s="44">
        <v>0</v>
      </c>
      <c r="V118" s="44">
        <v>0</v>
      </c>
      <c r="W118" s="44">
        <v>0</v>
      </c>
      <c r="X118" s="44">
        <v>0</v>
      </c>
      <c r="Y118" s="44">
        <v>0</v>
      </c>
      <c r="Z118" s="44">
        <v>0</v>
      </c>
      <c r="AA118" s="44">
        <v>4151.1487820224684</v>
      </c>
      <c r="AB118" s="44">
        <v>0</v>
      </c>
      <c r="AC118" s="44">
        <v>49298.907912138748</v>
      </c>
      <c r="AD118" s="44">
        <v>0</v>
      </c>
      <c r="AE118" s="44">
        <v>0</v>
      </c>
      <c r="AF118" s="44">
        <v>0</v>
      </c>
      <c r="AG118" s="44">
        <v>138243.54</v>
      </c>
      <c r="AH118" s="44">
        <v>0</v>
      </c>
      <c r="AI118" s="44">
        <v>0</v>
      </c>
      <c r="AJ118" s="44">
        <v>0</v>
      </c>
      <c r="AK118" s="44">
        <v>3471.4811</v>
      </c>
      <c r="AL118" s="44">
        <v>0</v>
      </c>
      <c r="AM118" s="44">
        <v>0</v>
      </c>
      <c r="AN118" s="44">
        <v>0</v>
      </c>
      <c r="AO118" s="44">
        <v>0</v>
      </c>
      <c r="AP118" s="44">
        <v>0</v>
      </c>
      <c r="AQ118" s="44">
        <v>0</v>
      </c>
      <c r="AR118" s="44">
        <v>0</v>
      </c>
      <c r="AS118" s="44">
        <v>0</v>
      </c>
      <c r="AT118" s="44">
        <v>743496.54079999996</v>
      </c>
      <c r="AU118" s="44">
        <v>163555.1683941613</v>
      </c>
      <c r="AV118" s="44">
        <v>141715.02110000001</v>
      </c>
      <c r="AW118" s="44">
        <v>141526.29080213877</v>
      </c>
      <c r="AX118" s="62">
        <v>1048766.7302941612</v>
      </c>
      <c r="AY118" s="62">
        <v>1045295.2491941613</v>
      </c>
      <c r="AZ118" s="62">
        <v>4610</v>
      </c>
      <c r="BA118" s="62">
        <v>958880</v>
      </c>
      <c r="BB118" s="62">
        <v>0</v>
      </c>
      <c r="BC118" s="62">
        <v>0</v>
      </c>
      <c r="BD118" s="62">
        <v>1048766.7302941612</v>
      </c>
      <c r="BE118" s="44">
        <v>1048766.730294161</v>
      </c>
      <c r="BF118" s="44">
        <v>0</v>
      </c>
      <c r="BG118" s="62">
        <v>962351.48109999998</v>
      </c>
      <c r="BH118" s="62">
        <v>820636.46</v>
      </c>
      <c r="BI118" s="44">
        <v>907051.70919416123</v>
      </c>
      <c r="BJ118" s="44">
        <v>4360.8255249719286</v>
      </c>
      <c r="BK118" s="44">
        <v>4609.5888699999987</v>
      </c>
      <c r="BL118" s="45">
        <v>-5.3966492900715049E-2</v>
      </c>
      <c r="BM118" s="45">
        <v>5.8966492900715047E-2</v>
      </c>
      <c r="BN118" s="44">
        <v>56536.748190638558</v>
      </c>
      <c r="BO118" s="62">
        <v>1105303.4784847999</v>
      </c>
      <c r="BP118" s="62">
        <v>5297.2692181961529</v>
      </c>
      <c r="BQ118" s="62" t="s">
        <v>92</v>
      </c>
      <c r="BR118" s="62">
        <v>5313.9590311769225</v>
      </c>
      <c r="BS118" s="53">
        <v>5.8442819571928872E-3</v>
      </c>
      <c r="BT118" s="44">
        <v>-5214.5600000000004</v>
      </c>
      <c r="BU118" s="44">
        <v>1100088.9184847998</v>
      </c>
      <c r="BV118" s="44">
        <v>0</v>
      </c>
      <c r="BW118" s="44">
        <v>1100088.9184847998</v>
      </c>
      <c r="BX118" s="44">
        <v>3471.4811</v>
      </c>
      <c r="BY118" s="44">
        <v>1096617.4373847998</v>
      </c>
    </row>
    <row r="119" spans="1:77">
      <c r="A119">
        <v>3329</v>
      </c>
      <c r="B119" s="60">
        <v>103431</v>
      </c>
      <c r="C119" s="60">
        <v>3303329</v>
      </c>
      <c r="D119" s="61" t="s">
        <v>778</v>
      </c>
      <c r="E119" s="52">
        <v>208</v>
      </c>
      <c r="F119" s="52">
        <v>208</v>
      </c>
      <c r="G119" s="52">
        <v>0</v>
      </c>
      <c r="H119" s="44">
        <v>743496.54079999996</v>
      </c>
      <c r="I119" s="44">
        <v>0</v>
      </c>
      <c r="J119" s="44">
        <v>0</v>
      </c>
      <c r="K119" s="44">
        <v>45729.950700000045</v>
      </c>
      <c r="L119" s="44">
        <v>0</v>
      </c>
      <c r="M119" s="44">
        <v>78173.42899999996</v>
      </c>
      <c r="N119" s="44">
        <v>0</v>
      </c>
      <c r="O119" s="44">
        <v>5659.7951999999814</v>
      </c>
      <c r="P119" s="44">
        <v>6578.0068999999958</v>
      </c>
      <c r="Q119" s="44">
        <v>42869.942400000044</v>
      </c>
      <c r="R119" s="44">
        <v>9734.0460000000039</v>
      </c>
      <c r="S119" s="44">
        <v>10852.959599999949</v>
      </c>
      <c r="T119" s="44">
        <v>0</v>
      </c>
      <c r="U119" s="44">
        <v>0</v>
      </c>
      <c r="V119" s="44">
        <v>0</v>
      </c>
      <c r="W119" s="44">
        <v>0</v>
      </c>
      <c r="X119" s="44">
        <v>0</v>
      </c>
      <c r="Y119" s="44">
        <v>0</v>
      </c>
      <c r="Z119" s="44">
        <v>0</v>
      </c>
      <c r="AA119" s="44">
        <v>49535.496080446886</v>
      </c>
      <c r="AB119" s="44">
        <v>0</v>
      </c>
      <c r="AC119" s="44">
        <v>81255.78708103791</v>
      </c>
      <c r="AD119" s="44">
        <v>0</v>
      </c>
      <c r="AE119" s="44">
        <v>500.95219200000042</v>
      </c>
      <c r="AF119" s="44">
        <v>0</v>
      </c>
      <c r="AG119" s="44">
        <v>138243.54</v>
      </c>
      <c r="AH119" s="44">
        <v>0</v>
      </c>
      <c r="AI119" s="44">
        <v>0</v>
      </c>
      <c r="AJ119" s="44">
        <v>0</v>
      </c>
      <c r="AK119" s="44">
        <v>3444.9792000000002</v>
      </c>
      <c r="AL119" s="44">
        <v>0</v>
      </c>
      <c r="AM119" s="44">
        <v>0</v>
      </c>
      <c r="AN119" s="44">
        <v>0</v>
      </c>
      <c r="AO119" s="44">
        <v>0</v>
      </c>
      <c r="AP119" s="44">
        <v>0</v>
      </c>
      <c r="AQ119" s="44">
        <v>0</v>
      </c>
      <c r="AR119" s="44">
        <v>0</v>
      </c>
      <c r="AS119" s="44">
        <v>0</v>
      </c>
      <c r="AT119" s="44">
        <v>743496.54079999996</v>
      </c>
      <c r="AU119" s="44">
        <v>330890.36515348474</v>
      </c>
      <c r="AV119" s="44">
        <v>141688.51920000001</v>
      </c>
      <c r="AW119" s="44">
        <v>218229.67902103791</v>
      </c>
      <c r="AX119" s="62">
        <v>1216075.4251534846</v>
      </c>
      <c r="AY119" s="62">
        <v>1212630.4459534846</v>
      </c>
      <c r="AZ119" s="62">
        <v>4610</v>
      </c>
      <c r="BA119" s="62">
        <v>958880</v>
      </c>
      <c r="BB119" s="62">
        <v>0</v>
      </c>
      <c r="BC119" s="62">
        <v>0</v>
      </c>
      <c r="BD119" s="62">
        <v>1216075.4251534846</v>
      </c>
      <c r="BE119" s="44">
        <v>1216075.4251534848</v>
      </c>
      <c r="BF119" s="44">
        <v>0</v>
      </c>
      <c r="BG119" s="62">
        <v>962324.97919999994</v>
      </c>
      <c r="BH119" s="62">
        <v>820636.46</v>
      </c>
      <c r="BI119" s="44">
        <v>1074386.9059534846</v>
      </c>
      <c r="BJ119" s="44">
        <v>5165.3216632379063</v>
      </c>
      <c r="BK119" s="44">
        <v>5081.6369236714963</v>
      </c>
      <c r="BL119" s="45">
        <v>1.6468067440352955E-2</v>
      </c>
      <c r="BM119" s="45">
        <v>0</v>
      </c>
      <c r="BN119" s="44">
        <v>0</v>
      </c>
      <c r="BO119" s="62">
        <v>1216075.4251534846</v>
      </c>
      <c r="BP119" s="62">
        <v>5829.9540670840606</v>
      </c>
      <c r="BQ119" s="62" t="s">
        <v>92</v>
      </c>
      <c r="BR119" s="62">
        <v>5846.5164670840604</v>
      </c>
      <c r="BS119" s="53">
        <v>1.4005845720191923E-2</v>
      </c>
      <c r="BT119" s="44">
        <v>-5214.5600000000004</v>
      </c>
      <c r="BU119" s="44">
        <v>1210860.8651534845</v>
      </c>
      <c r="BV119" s="44">
        <v>0</v>
      </c>
      <c r="BW119" s="44">
        <v>1210860.8651534845</v>
      </c>
      <c r="BX119" s="44">
        <v>3444.9792000000002</v>
      </c>
      <c r="BY119" s="44">
        <v>1207415.8859534846</v>
      </c>
    </row>
    <row r="120" spans="1:77">
      <c r="A120">
        <v>3331</v>
      </c>
      <c r="B120" s="60">
        <v>103433</v>
      </c>
      <c r="C120" s="60">
        <v>3303331</v>
      </c>
      <c r="D120" s="61" t="s">
        <v>787</v>
      </c>
      <c r="E120" s="52">
        <v>212</v>
      </c>
      <c r="F120" s="52">
        <v>212</v>
      </c>
      <c r="G120" s="52">
        <v>0</v>
      </c>
      <c r="H120" s="44">
        <v>757794.55119999999</v>
      </c>
      <c r="I120" s="44">
        <v>0</v>
      </c>
      <c r="J120" s="44">
        <v>0</v>
      </c>
      <c r="K120" s="44">
        <v>34912.112899999949</v>
      </c>
      <c r="L120" s="44">
        <v>0</v>
      </c>
      <c r="M120" s="44">
        <v>61715.86499999994</v>
      </c>
      <c r="N120" s="44">
        <v>0</v>
      </c>
      <c r="O120" s="44">
        <v>9904.6416000000081</v>
      </c>
      <c r="P120" s="44">
        <v>2574.0026999999973</v>
      </c>
      <c r="Q120" s="44">
        <v>6698.4285000000018</v>
      </c>
      <c r="R120" s="44">
        <v>7787.2367999999951</v>
      </c>
      <c r="S120" s="44">
        <v>25840.380000000048</v>
      </c>
      <c r="T120" s="44">
        <v>31389.792800000043</v>
      </c>
      <c r="U120" s="44">
        <v>0</v>
      </c>
      <c r="V120" s="44">
        <v>0</v>
      </c>
      <c r="W120" s="44">
        <v>0</v>
      </c>
      <c r="X120" s="44">
        <v>0</v>
      </c>
      <c r="Y120" s="44">
        <v>0</v>
      </c>
      <c r="Z120" s="44">
        <v>0</v>
      </c>
      <c r="AA120" s="44">
        <v>46897.220298901157</v>
      </c>
      <c r="AB120" s="44">
        <v>0</v>
      </c>
      <c r="AC120" s="44">
        <v>99510.603629741352</v>
      </c>
      <c r="AD120" s="44">
        <v>0</v>
      </c>
      <c r="AE120" s="44">
        <v>5168.7746766255887</v>
      </c>
      <c r="AF120" s="44">
        <v>0</v>
      </c>
      <c r="AG120" s="44">
        <v>138243.54</v>
      </c>
      <c r="AH120" s="44">
        <v>0</v>
      </c>
      <c r="AI120" s="44">
        <v>0</v>
      </c>
      <c r="AJ120" s="44">
        <v>0</v>
      </c>
      <c r="AK120" s="44">
        <v>8213.5599000000002</v>
      </c>
      <c r="AL120" s="44">
        <v>0</v>
      </c>
      <c r="AM120" s="44">
        <v>0</v>
      </c>
      <c r="AN120" s="44">
        <v>0</v>
      </c>
      <c r="AO120" s="44">
        <v>0</v>
      </c>
      <c r="AP120" s="44">
        <v>0</v>
      </c>
      <c r="AQ120" s="44">
        <v>0</v>
      </c>
      <c r="AR120" s="44">
        <v>0</v>
      </c>
      <c r="AS120" s="44">
        <v>0</v>
      </c>
      <c r="AT120" s="44">
        <v>757794.55119999999</v>
      </c>
      <c r="AU120" s="44">
        <v>332399.05890526809</v>
      </c>
      <c r="AV120" s="44">
        <v>146457.0999</v>
      </c>
      <c r="AW120" s="44">
        <v>227811.56133974134</v>
      </c>
      <c r="AX120" s="62">
        <v>1236650.7100052682</v>
      </c>
      <c r="AY120" s="62">
        <v>1228437.1501052682</v>
      </c>
      <c r="AZ120" s="62">
        <v>4610</v>
      </c>
      <c r="BA120" s="62">
        <v>977320</v>
      </c>
      <c r="BB120" s="62">
        <v>0</v>
      </c>
      <c r="BC120" s="62">
        <v>0</v>
      </c>
      <c r="BD120" s="62">
        <v>1236650.7100052682</v>
      </c>
      <c r="BE120" s="44">
        <v>1236650.7100052682</v>
      </c>
      <c r="BF120" s="44">
        <v>0</v>
      </c>
      <c r="BG120" s="62">
        <v>985533.55989999999</v>
      </c>
      <c r="BH120" s="62">
        <v>839076.46</v>
      </c>
      <c r="BI120" s="44">
        <v>1090193.6101052682</v>
      </c>
      <c r="BJ120" s="44">
        <v>5142.4226891757935</v>
      </c>
      <c r="BK120" s="44">
        <v>5056.0785115384624</v>
      </c>
      <c r="BL120" s="45">
        <v>1.7077301596540733E-2</v>
      </c>
      <c r="BM120" s="45">
        <v>0</v>
      </c>
      <c r="BN120" s="44">
        <v>0</v>
      </c>
      <c r="BO120" s="62">
        <v>1236650.7100052682</v>
      </c>
      <c r="BP120" s="62">
        <v>5794.5148589871142</v>
      </c>
      <c r="BQ120" s="62" t="s">
        <v>92</v>
      </c>
      <c r="BR120" s="62">
        <v>5833.2580660625863</v>
      </c>
      <c r="BS120" s="53">
        <v>1.6815524933856407E-2</v>
      </c>
      <c r="BT120" s="44">
        <v>-5314.84</v>
      </c>
      <c r="BU120" s="44">
        <v>1231335.8700052681</v>
      </c>
      <c r="BV120" s="44">
        <v>0</v>
      </c>
      <c r="BW120" s="44">
        <v>1231335.8700052681</v>
      </c>
      <c r="BX120" s="44">
        <v>8213.5599000000002</v>
      </c>
      <c r="BY120" s="44">
        <v>1223122.3101052681</v>
      </c>
    </row>
    <row r="121" spans="1:77">
      <c r="A121">
        <v>3335</v>
      </c>
      <c r="B121" s="60">
        <v>103434</v>
      </c>
      <c r="C121" s="60">
        <v>3303335</v>
      </c>
      <c r="D121" s="61" t="s">
        <v>515</v>
      </c>
      <c r="E121" s="52">
        <v>205</v>
      </c>
      <c r="F121" s="52">
        <v>205</v>
      </c>
      <c r="G121" s="52">
        <v>0</v>
      </c>
      <c r="H121" s="44">
        <v>732773.03299999994</v>
      </c>
      <c r="I121" s="44">
        <v>0</v>
      </c>
      <c r="J121" s="44">
        <v>0</v>
      </c>
      <c r="K121" s="44">
        <v>59498.107899999966</v>
      </c>
      <c r="L121" s="44">
        <v>0</v>
      </c>
      <c r="M121" s="44">
        <v>102036.89680000003</v>
      </c>
      <c r="N121" s="44">
        <v>0</v>
      </c>
      <c r="O121" s="44">
        <v>1414.9487999999985</v>
      </c>
      <c r="P121" s="44">
        <v>4576.0048000000015</v>
      </c>
      <c r="Q121" s="44">
        <v>28133.399700000024</v>
      </c>
      <c r="R121" s="44">
        <v>6327.1299000000045</v>
      </c>
      <c r="S121" s="44">
        <v>44445.453599999979</v>
      </c>
      <c r="T121" s="44">
        <v>8188.6416000000045</v>
      </c>
      <c r="U121" s="44">
        <v>0</v>
      </c>
      <c r="V121" s="44">
        <v>0</v>
      </c>
      <c r="W121" s="44">
        <v>0</v>
      </c>
      <c r="X121" s="44">
        <v>0</v>
      </c>
      <c r="Y121" s="44">
        <v>0</v>
      </c>
      <c r="Z121" s="44">
        <v>0</v>
      </c>
      <c r="AA121" s="44">
        <v>29823.457048571465</v>
      </c>
      <c r="AB121" s="44">
        <v>0</v>
      </c>
      <c r="AC121" s="44">
        <v>79741.824476785652</v>
      </c>
      <c r="AD121" s="44">
        <v>0</v>
      </c>
      <c r="AE121" s="44">
        <v>6454.5763200000029</v>
      </c>
      <c r="AF121" s="44">
        <v>0</v>
      </c>
      <c r="AG121" s="44">
        <v>138243.54</v>
      </c>
      <c r="AH121" s="44">
        <v>0</v>
      </c>
      <c r="AI121" s="44">
        <v>0</v>
      </c>
      <c r="AJ121" s="44">
        <v>0</v>
      </c>
      <c r="AK121" s="44">
        <v>5246.9642000000003</v>
      </c>
      <c r="AL121" s="44">
        <v>0</v>
      </c>
      <c r="AM121" s="44">
        <v>0</v>
      </c>
      <c r="AN121" s="44">
        <v>0</v>
      </c>
      <c r="AO121" s="44">
        <v>0</v>
      </c>
      <c r="AP121" s="44">
        <v>0</v>
      </c>
      <c r="AQ121" s="44">
        <v>0</v>
      </c>
      <c r="AR121" s="44">
        <v>0</v>
      </c>
      <c r="AS121" s="44">
        <v>0</v>
      </c>
      <c r="AT121" s="44">
        <v>732773.03299999994</v>
      </c>
      <c r="AU121" s="44">
        <v>370640.44094535714</v>
      </c>
      <c r="AV121" s="44">
        <v>143490.5042</v>
      </c>
      <c r="AW121" s="44">
        <v>243690.76767678565</v>
      </c>
      <c r="AX121" s="62">
        <v>1246903.9781453572</v>
      </c>
      <c r="AY121" s="62">
        <v>1241657.0139453572</v>
      </c>
      <c r="AZ121" s="62">
        <v>4610</v>
      </c>
      <c r="BA121" s="62">
        <v>945050</v>
      </c>
      <c r="BB121" s="62">
        <v>0</v>
      </c>
      <c r="BC121" s="62">
        <v>0</v>
      </c>
      <c r="BD121" s="62">
        <v>1246903.9781453572</v>
      </c>
      <c r="BE121" s="44">
        <v>1246903.9781453572</v>
      </c>
      <c r="BF121" s="44">
        <v>0</v>
      </c>
      <c r="BG121" s="62">
        <v>950296.96420000005</v>
      </c>
      <c r="BH121" s="62">
        <v>806806.46</v>
      </c>
      <c r="BI121" s="44">
        <v>1103413.4739453571</v>
      </c>
      <c r="BJ121" s="44">
        <v>5382.5047509529613</v>
      </c>
      <c r="BK121" s="44">
        <v>5548.5814529411764</v>
      </c>
      <c r="BL121" s="45">
        <v>-2.993138037113641E-2</v>
      </c>
      <c r="BM121" s="45">
        <v>3.4931380371136411E-2</v>
      </c>
      <c r="BN121" s="44">
        <v>39733.019896848797</v>
      </c>
      <c r="BO121" s="62">
        <v>1286636.998042206</v>
      </c>
      <c r="BP121" s="62">
        <v>6250.6830919131999</v>
      </c>
      <c r="BQ121" s="62" t="s">
        <v>92</v>
      </c>
      <c r="BR121" s="62">
        <v>6276.278039230273</v>
      </c>
      <c r="BS121" s="53">
        <v>1.7464860745439736E-3</v>
      </c>
      <c r="BT121" s="44">
        <v>-5139.3500000000004</v>
      </c>
      <c r="BU121" s="44">
        <v>1281497.648042206</v>
      </c>
      <c r="BV121" s="44">
        <v>0</v>
      </c>
      <c r="BW121" s="44">
        <v>1281497.648042206</v>
      </c>
      <c r="BX121" s="44">
        <v>5246.9642000000003</v>
      </c>
      <c r="BY121" s="44">
        <v>1276250.6838422059</v>
      </c>
    </row>
    <row r="122" spans="1:77">
      <c r="A122">
        <v>3342</v>
      </c>
      <c r="B122" s="60">
        <v>103437</v>
      </c>
      <c r="C122" s="60">
        <v>3303342</v>
      </c>
      <c r="D122" s="61" t="s">
        <v>796</v>
      </c>
      <c r="E122" s="52">
        <v>381</v>
      </c>
      <c r="F122" s="52">
        <v>381</v>
      </c>
      <c r="G122" s="52">
        <v>0</v>
      </c>
      <c r="H122" s="44">
        <v>1361885.4905999999</v>
      </c>
      <c r="I122" s="44">
        <v>0</v>
      </c>
      <c r="J122" s="44">
        <v>0</v>
      </c>
      <c r="K122" s="44">
        <v>108178.37800000006</v>
      </c>
      <c r="L122" s="44">
        <v>0</v>
      </c>
      <c r="M122" s="44">
        <v>182678.9604000001</v>
      </c>
      <c r="N122" s="44">
        <v>0</v>
      </c>
      <c r="O122" s="44">
        <v>943.2992000000005</v>
      </c>
      <c r="P122" s="44">
        <v>1144.0012000000004</v>
      </c>
      <c r="Q122" s="44">
        <v>14289.980800000005</v>
      </c>
      <c r="R122" s="44">
        <v>28715.435699999918</v>
      </c>
      <c r="S122" s="44">
        <v>114214.47959999995</v>
      </c>
      <c r="T122" s="44">
        <v>39578.43440000002</v>
      </c>
      <c r="U122" s="44">
        <v>0</v>
      </c>
      <c r="V122" s="44">
        <v>0</v>
      </c>
      <c r="W122" s="44">
        <v>0</v>
      </c>
      <c r="X122" s="44">
        <v>0</v>
      </c>
      <c r="Y122" s="44">
        <v>0</v>
      </c>
      <c r="Z122" s="44">
        <v>0</v>
      </c>
      <c r="AA122" s="44">
        <v>63392.642311313881</v>
      </c>
      <c r="AB122" s="44">
        <v>0</v>
      </c>
      <c r="AC122" s="44">
        <v>163152.86284578015</v>
      </c>
      <c r="AD122" s="44">
        <v>0</v>
      </c>
      <c r="AE122" s="44">
        <v>1098.2413440000105</v>
      </c>
      <c r="AF122" s="44">
        <v>0</v>
      </c>
      <c r="AG122" s="44">
        <v>138243.54</v>
      </c>
      <c r="AH122" s="44">
        <v>0</v>
      </c>
      <c r="AI122" s="44">
        <v>0</v>
      </c>
      <c r="AJ122" s="44">
        <v>0</v>
      </c>
      <c r="AK122" s="44">
        <v>7949.9520000000002</v>
      </c>
      <c r="AL122" s="44">
        <v>0</v>
      </c>
      <c r="AM122" s="44">
        <v>0</v>
      </c>
      <c r="AN122" s="44">
        <v>0</v>
      </c>
      <c r="AO122" s="44">
        <v>0</v>
      </c>
      <c r="AP122" s="44">
        <v>0</v>
      </c>
      <c r="AQ122" s="44">
        <v>0</v>
      </c>
      <c r="AR122" s="44">
        <v>0</v>
      </c>
      <c r="AS122" s="44">
        <v>0</v>
      </c>
      <c r="AT122" s="44">
        <v>1361885.4905999999</v>
      </c>
      <c r="AU122" s="44">
        <v>717386.71580109396</v>
      </c>
      <c r="AV122" s="44">
        <v>146193.492</v>
      </c>
      <c r="AW122" s="44">
        <v>476118.62202578015</v>
      </c>
      <c r="AX122" s="62">
        <v>2225465.6984010939</v>
      </c>
      <c r="AY122" s="62">
        <v>2217515.7464010939</v>
      </c>
      <c r="AZ122" s="62">
        <v>4610</v>
      </c>
      <c r="BA122" s="62">
        <v>1756410</v>
      </c>
      <c r="BB122" s="62">
        <v>0</v>
      </c>
      <c r="BC122" s="62">
        <v>0</v>
      </c>
      <c r="BD122" s="62">
        <v>2225465.6984010939</v>
      </c>
      <c r="BE122" s="44">
        <v>2225465.6984010939</v>
      </c>
      <c r="BF122" s="44">
        <v>0</v>
      </c>
      <c r="BG122" s="62">
        <v>1764359.952</v>
      </c>
      <c r="BH122" s="62">
        <v>1618166.46</v>
      </c>
      <c r="BI122" s="44">
        <v>2079272.2064010939</v>
      </c>
      <c r="BJ122" s="44">
        <v>5457.4073658821362</v>
      </c>
      <c r="BK122" s="44">
        <v>5369.5212300261092</v>
      </c>
      <c r="BL122" s="45">
        <v>1.6367592582476803E-2</v>
      </c>
      <c r="BM122" s="45">
        <v>0</v>
      </c>
      <c r="BN122" s="44">
        <v>0</v>
      </c>
      <c r="BO122" s="62">
        <v>2225465.6984010939</v>
      </c>
      <c r="BP122" s="62">
        <v>5820.2513028900103</v>
      </c>
      <c r="BQ122" s="62" t="s">
        <v>92</v>
      </c>
      <c r="BR122" s="62">
        <v>5841.117318638042</v>
      </c>
      <c r="BS122" s="53">
        <v>1.694814618803786E-2</v>
      </c>
      <c r="BT122" s="44">
        <v>-9551.67</v>
      </c>
      <c r="BU122" s="44">
        <v>2215914.028401094</v>
      </c>
      <c r="BV122" s="44">
        <v>0</v>
      </c>
      <c r="BW122" s="44">
        <v>2215914.028401094</v>
      </c>
      <c r="BX122" s="44">
        <v>7949.9520000000002</v>
      </c>
      <c r="BY122" s="44">
        <v>2207964.076401094</v>
      </c>
    </row>
    <row r="123" spans="1:77">
      <c r="A123">
        <v>3344</v>
      </c>
      <c r="B123" s="60">
        <v>103438</v>
      </c>
      <c r="C123" s="60">
        <v>3303344</v>
      </c>
      <c r="D123" s="61" t="s">
        <v>530</v>
      </c>
      <c r="E123" s="52">
        <v>416</v>
      </c>
      <c r="F123" s="52">
        <v>416</v>
      </c>
      <c r="G123" s="52">
        <v>0</v>
      </c>
      <c r="H123" s="44">
        <v>1486993.0815999999</v>
      </c>
      <c r="I123" s="44">
        <v>0</v>
      </c>
      <c r="J123" s="44">
        <v>0</v>
      </c>
      <c r="K123" s="44">
        <v>38354.152199999997</v>
      </c>
      <c r="L123" s="44">
        <v>0</v>
      </c>
      <c r="M123" s="44">
        <v>64184.499600000003</v>
      </c>
      <c r="N123" s="44">
        <v>0</v>
      </c>
      <c r="O123" s="44">
        <v>4952.3207999999968</v>
      </c>
      <c r="P123" s="44">
        <v>7150.0074999999933</v>
      </c>
      <c r="Q123" s="44">
        <v>8484.6760999999951</v>
      </c>
      <c r="R123" s="44">
        <v>16547.878199999992</v>
      </c>
      <c r="S123" s="44">
        <v>27907.610399999936</v>
      </c>
      <c r="T123" s="44">
        <v>27977.858799999998</v>
      </c>
      <c r="U123" s="44">
        <v>0</v>
      </c>
      <c r="V123" s="44">
        <v>0</v>
      </c>
      <c r="W123" s="44">
        <v>0</v>
      </c>
      <c r="X123" s="44">
        <v>0</v>
      </c>
      <c r="Y123" s="44">
        <v>0</v>
      </c>
      <c r="Z123" s="44">
        <v>0</v>
      </c>
      <c r="AA123" s="44">
        <v>54351.44708826828</v>
      </c>
      <c r="AB123" s="44">
        <v>0</v>
      </c>
      <c r="AC123" s="44">
        <v>109994.64630529869</v>
      </c>
      <c r="AD123" s="44">
        <v>0</v>
      </c>
      <c r="AE123" s="44">
        <v>0</v>
      </c>
      <c r="AF123" s="44">
        <v>0</v>
      </c>
      <c r="AG123" s="44">
        <v>138243.54</v>
      </c>
      <c r="AH123" s="44">
        <v>0</v>
      </c>
      <c r="AI123" s="44">
        <v>0</v>
      </c>
      <c r="AJ123" s="44">
        <v>0</v>
      </c>
      <c r="AK123" s="44">
        <v>3047.4816000000001</v>
      </c>
      <c r="AL123" s="44">
        <v>0</v>
      </c>
      <c r="AM123" s="44">
        <v>0</v>
      </c>
      <c r="AN123" s="44">
        <v>0</v>
      </c>
      <c r="AO123" s="44">
        <v>0</v>
      </c>
      <c r="AP123" s="44">
        <v>0</v>
      </c>
      <c r="AQ123" s="44">
        <v>0</v>
      </c>
      <c r="AR123" s="44">
        <v>0</v>
      </c>
      <c r="AS123" s="44">
        <v>0</v>
      </c>
      <c r="AT123" s="44">
        <v>1486993.0815999999</v>
      </c>
      <c r="AU123" s="44">
        <v>359905.09699356684</v>
      </c>
      <c r="AV123" s="44">
        <v>141291.02160000001</v>
      </c>
      <c r="AW123" s="44">
        <v>282123.80218529864</v>
      </c>
      <c r="AX123" s="62">
        <v>1988189.2001935667</v>
      </c>
      <c r="AY123" s="62">
        <v>1985141.7185935667</v>
      </c>
      <c r="AZ123" s="62">
        <v>4610</v>
      </c>
      <c r="BA123" s="62">
        <v>1917760</v>
      </c>
      <c r="BB123" s="62">
        <v>0</v>
      </c>
      <c r="BC123" s="62">
        <v>0</v>
      </c>
      <c r="BD123" s="62">
        <v>1988189.2001935667</v>
      </c>
      <c r="BE123" s="44">
        <v>1988189.200193567</v>
      </c>
      <c r="BF123" s="44">
        <v>0</v>
      </c>
      <c r="BG123" s="62">
        <v>1920807.4816000001</v>
      </c>
      <c r="BH123" s="62">
        <v>1779516.46</v>
      </c>
      <c r="BI123" s="44">
        <v>1846898.1785935666</v>
      </c>
      <c r="BJ123" s="44">
        <v>4439.6590831576123</v>
      </c>
      <c r="BK123" s="44">
        <v>4307.8874508393283</v>
      </c>
      <c r="BL123" s="45">
        <v>3.0588457526347451E-2</v>
      </c>
      <c r="BM123" s="45">
        <v>0</v>
      </c>
      <c r="BN123" s="44">
        <v>0</v>
      </c>
      <c r="BO123" s="62">
        <v>1988189.2001935667</v>
      </c>
      <c r="BP123" s="62">
        <v>4771.975285080689</v>
      </c>
      <c r="BQ123" s="62" t="s">
        <v>92</v>
      </c>
      <c r="BR123" s="62">
        <v>4779.3009620037665</v>
      </c>
      <c r="BS123" s="53">
        <v>2.6059910887965776E-2</v>
      </c>
      <c r="BT123" s="44">
        <v>-10429.120000000001</v>
      </c>
      <c r="BU123" s="44">
        <v>1977760.0801935666</v>
      </c>
      <c r="BV123" s="44">
        <v>0</v>
      </c>
      <c r="BW123" s="44">
        <v>1977760.0801935666</v>
      </c>
      <c r="BX123" s="44">
        <v>3047.4816000000001</v>
      </c>
      <c r="BY123" s="44">
        <v>1974712.5985935666</v>
      </c>
    </row>
    <row r="124" spans="1:77">
      <c r="A124">
        <v>3346</v>
      </c>
      <c r="B124" s="60">
        <v>103439</v>
      </c>
      <c r="C124" s="60">
        <v>3303346</v>
      </c>
      <c r="D124" s="61" t="s">
        <v>868</v>
      </c>
      <c r="E124" s="52">
        <v>364</v>
      </c>
      <c r="F124" s="52">
        <v>364</v>
      </c>
      <c r="G124" s="52">
        <v>0</v>
      </c>
      <c r="H124" s="44">
        <v>1301118.9464</v>
      </c>
      <c r="I124" s="44">
        <v>0</v>
      </c>
      <c r="J124" s="44">
        <v>0</v>
      </c>
      <c r="K124" s="44">
        <v>76708.304400000066</v>
      </c>
      <c r="L124" s="44">
        <v>0</v>
      </c>
      <c r="M124" s="44">
        <v>135774.9029999999</v>
      </c>
      <c r="N124" s="44">
        <v>0</v>
      </c>
      <c r="O124" s="44">
        <v>3773.1968000000043</v>
      </c>
      <c r="P124" s="44">
        <v>8866.0093000000033</v>
      </c>
      <c r="Q124" s="44">
        <v>12950.295100000007</v>
      </c>
      <c r="R124" s="44">
        <v>28715.435699999984</v>
      </c>
      <c r="S124" s="44">
        <v>49613.529600000053</v>
      </c>
      <c r="T124" s="44">
        <v>62097.198799999998</v>
      </c>
      <c r="U124" s="44">
        <v>0</v>
      </c>
      <c r="V124" s="44">
        <v>0</v>
      </c>
      <c r="W124" s="44">
        <v>0</v>
      </c>
      <c r="X124" s="44">
        <v>0</v>
      </c>
      <c r="Y124" s="44">
        <v>0</v>
      </c>
      <c r="Z124" s="44">
        <v>0</v>
      </c>
      <c r="AA124" s="44">
        <v>60288.428492604529</v>
      </c>
      <c r="AB124" s="44">
        <v>0</v>
      </c>
      <c r="AC124" s="44">
        <v>220662.56284312505</v>
      </c>
      <c r="AD124" s="44">
        <v>0</v>
      </c>
      <c r="AE124" s="44">
        <v>6974.6897475702344</v>
      </c>
      <c r="AF124" s="44">
        <v>0</v>
      </c>
      <c r="AG124" s="44">
        <v>138243.54</v>
      </c>
      <c r="AH124" s="44">
        <v>0</v>
      </c>
      <c r="AI124" s="44">
        <v>0</v>
      </c>
      <c r="AJ124" s="44">
        <v>82904.98</v>
      </c>
      <c r="AK124" s="44">
        <v>7128.4549000000006</v>
      </c>
      <c r="AL124" s="44">
        <v>0</v>
      </c>
      <c r="AM124" s="44">
        <v>0</v>
      </c>
      <c r="AN124" s="44">
        <v>0</v>
      </c>
      <c r="AO124" s="44">
        <v>0</v>
      </c>
      <c r="AP124" s="44">
        <v>0</v>
      </c>
      <c r="AQ124" s="44">
        <v>0</v>
      </c>
      <c r="AR124" s="44">
        <v>0</v>
      </c>
      <c r="AS124" s="44">
        <v>0</v>
      </c>
      <c r="AT124" s="44">
        <v>1301118.9464</v>
      </c>
      <c r="AU124" s="44">
        <v>666424.55378329987</v>
      </c>
      <c r="AV124" s="44">
        <v>228276.97490000003</v>
      </c>
      <c r="AW124" s="44">
        <v>474967.94651312509</v>
      </c>
      <c r="AX124" s="62">
        <v>2195820.4750832999</v>
      </c>
      <c r="AY124" s="62">
        <v>2105787.0401833002</v>
      </c>
      <c r="AZ124" s="62">
        <v>4610</v>
      </c>
      <c r="BA124" s="62">
        <v>1678040</v>
      </c>
      <c r="BB124" s="62">
        <v>0</v>
      </c>
      <c r="BC124" s="62">
        <v>0</v>
      </c>
      <c r="BD124" s="62">
        <v>2195820.4750832999</v>
      </c>
      <c r="BE124" s="44">
        <v>2195820.4750832999</v>
      </c>
      <c r="BF124" s="44">
        <v>0</v>
      </c>
      <c r="BG124" s="62">
        <v>1768073.4349</v>
      </c>
      <c r="BH124" s="62">
        <v>1622701.44</v>
      </c>
      <c r="BI124" s="44">
        <v>2050448.4801832999</v>
      </c>
      <c r="BJ124" s="44">
        <v>5633.1002202837908</v>
      </c>
      <c r="BK124" s="44">
        <v>5225.9941870786515</v>
      </c>
      <c r="BL124" s="45">
        <v>7.7900207813417596E-2</v>
      </c>
      <c r="BM124" s="45">
        <v>0</v>
      </c>
      <c r="BN124" s="44">
        <v>0</v>
      </c>
      <c r="BO124" s="62">
        <v>2195820.4750832999</v>
      </c>
      <c r="BP124" s="62">
        <v>5785.1292312728028</v>
      </c>
      <c r="BQ124" s="62" t="s">
        <v>92</v>
      </c>
      <c r="BR124" s="62">
        <v>6032.4738326464285</v>
      </c>
      <c r="BS124" s="53">
        <v>2.1943744444772317E-3</v>
      </c>
      <c r="BT124" s="44">
        <v>-9125.48</v>
      </c>
      <c r="BU124" s="44">
        <v>2186694.9950832999</v>
      </c>
      <c r="BV124" s="44">
        <v>0</v>
      </c>
      <c r="BW124" s="44">
        <v>2186694.9950832999</v>
      </c>
      <c r="BX124" s="44">
        <v>7128.4549000000006</v>
      </c>
      <c r="BY124" s="44">
        <v>2179566.5401833002</v>
      </c>
    </row>
    <row r="125" spans="1:77">
      <c r="A125">
        <v>3351</v>
      </c>
      <c r="B125" s="60">
        <v>103443</v>
      </c>
      <c r="C125" s="60">
        <v>3303351</v>
      </c>
      <c r="D125" s="61" t="s">
        <v>491</v>
      </c>
      <c r="E125" s="52">
        <v>211</v>
      </c>
      <c r="F125" s="52">
        <v>211</v>
      </c>
      <c r="G125" s="52">
        <v>0</v>
      </c>
      <c r="H125" s="44">
        <v>754220.04859999998</v>
      </c>
      <c r="I125" s="44">
        <v>0</v>
      </c>
      <c r="J125" s="44">
        <v>0</v>
      </c>
      <c r="K125" s="44">
        <v>49663.709900000045</v>
      </c>
      <c r="L125" s="44">
        <v>0</v>
      </c>
      <c r="M125" s="44">
        <v>87225.089199999915</v>
      </c>
      <c r="N125" s="44">
        <v>0</v>
      </c>
      <c r="O125" s="44">
        <v>235.82480000000021</v>
      </c>
      <c r="P125" s="44">
        <v>1144.0012000000008</v>
      </c>
      <c r="Q125" s="44">
        <v>19202.161700000019</v>
      </c>
      <c r="R125" s="44">
        <v>7300.534499999997</v>
      </c>
      <c r="S125" s="44">
        <v>56332.028399999945</v>
      </c>
      <c r="T125" s="44">
        <v>9553.4151999999958</v>
      </c>
      <c r="U125" s="44">
        <v>0</v>
      </c>
      <c r="V125" s="44">
        <v>0</v>
      </c>
      <c r="W125" s="44">
        <v>0</v>
      </c>
      <c r="X125" s="44">
        <v>0</v>
      </c>
      <c r="Y125" s="44">
        <v>0</v>
      </c>
      <c r="Z125" s="44">
        <v>0</v>
      </c>
      <c r="AA125" s="44">
        <v>14574.811988333377</v>
      </c>
      <c r="AB125" s="44">
        <v>0</v>
      </c>
      <c r="AC125" s="44">
        <v>84424.175059776535</v>
      </c>
      <c r="AD125" s="44">
        <v>0</v>
      </c>
      <c r="AE125" s="44">
        <v>0</v>
      </c>
      <c r="AF125" s="44">
        <v>0</v>
      </c>
      <c r="AG125" s="44">
        <v>138243.54</v>
      </c>
      <c r="AH125" s="44">
        <v>0</v>
      </c>
      <c r="AI125" s="44">
        <v>0</v>
      </c>
      <c r="AJ125" s="44">
        <v>0</v>
      </c>
      <c r="AK125" s="44">
        <v>21610.934700000002</v>
      </c>
      <c r="AL125" s="44">
        <v>0</v>
      </c>
      <c r="AM125" s="44">
        <v>0</v>
      </c>
      <c r="AN125" s="44">
        <v>0</v>
      </c>
      <c r="AO125" s="44">
        <v>0</v>
      </c>
      <c r="AP125" s="44">
        <v>0</v>
      </c>
      <c r="AQ125" s="44">
        <v>0</v>
      </c>
      <c r="AR125" s="44">
        <v>0</v>
      </c>
      <c r="AS125" s="44">
        <v>0</v>
      </c>
      <c r="AT125" s="44">
        <v>754220.04859999998</v>
      </c>
      <c r="AU125" s="44">
        <v>329655.75194810983</v>
      </c>
      <c r="AV125" s="44">
        <v>159854.47470000002</v>
      </c>
      <c r="AW125" s="44">
        <v>237463.55993977649</v>
      </c>
      <c r="AX125" s="62">
        <v>1243730.2752481098</v>
      </c>
      <c r="AY125" s="62">
        <v>1222119.3405481097</v>
      </c>
      <c r="AZ125" s="62">
        <v>4610</v>
      </c>
      <c r="BA125" s="62">
        <v>972710</v>
      </c>
      <c r="BB125" s="62">
        <v>0</v>
      </c>
      <c r="BC125" s="62">
        <v>0</v>
      </c>
      <c r="BD125" s="62">
        <v>1243730.2752481098</v>
      </c>
      <c r="BE125" s="44">
        <v>1243730.2752481098</v>
      </c>
      <c r="BF125" s="44">
        <v>0</v>
      </c>
      <c r="BG125" s="62">
        <v>994320.93469999998</v>
      </c>
      <c r="BH125" s="62">
        <v>834466.46</v>
      </c>
      <c r="BI125" s="44">
        <v>1083875.8005481097</v>
      </c>
      <c r="BJ125" s="44">
        <v>5136.8521352990983</v>
      </c>
      <c r="BK125" s="44">
        <v>4982.0443071770333</v>
      </c>
      <c r="BL125" s="45">
        <v>3.1073153624718273E-2</v>
      </c>
      <c r="BM125" s="45">
        <v>0</v>
      </c>
      <c r="BN125" s="44">
        <v>0</v>
      </c>
      <c r="BO125" s="62">
        <v>1243730.2752481098</v>
      </c>
      <c r="BP125" s="62">
        <v>5792.0347893275339</v>
      </c>
      <c r="BQ125" s="62" t="s">
        <v>92</v>
      </c>
      <c r="BR125" s="62">
        <v>5894.4562807967286</v>
      </c>
      <c r="BS125" s="53">
        <v>4.1515430479672988E-2</v>
      </c>
      <c r="BT125" s="44">
        <v>-5289.77</v>
      </c>
      <c r="BU125" s="44">
        <v>1238440.5052481098</v>
      </c>
      <c r="BV125" s="44">
        <v>0</v>
      </c>
      <c r="BW125" s="44">
        <v>1238440.5052481098</v>
      </c>
      <c r="BX125" s="44">
        <v>21610.934700000002</v>
      </c>
      <c r="BY125" s="44">
        <v>1216829.5705481097</v>
      </c>
    </row>
    <row r="126" spans="1:77">
      <c r="A126">
        <v>3352</v>
      </c>
      <c r="B126" s="60">
        <v>103444</v>
      </c>
      <c r="C126" s="60">
        <v>3303352</v>
      </c>
      <c r="D126" s="61" t="s">
        <v>869</v>
      </c>
      <c r="E126" s="52">
        <v>186</v>
      </c>
      <c r="F126" s="52">
        <v>186</v>
      </c>
      <c r="G126" s="52">
        <v>0</v>
      </c>
      <c r="H126" s="44">
        <v>664857.48359999992</v>
      </c>
      <c r="I126" s="44">
        <v>0</v>
      </c>
      <c r="J126" s="44">
        <v>0</v>
      </c>
      <c r="K126" s="44">
        <v>32945.233300000014</v>
      </c>
      <c r="L126" s="44">
        <v>0</v>
      </c>
      <c r="M126" s="44">
        <v>55955.717599999938</v>
      </c>
      <c r="N126" s="44">
        <v>0</v>
      </c>
      <c r="O126" s="44">
        <v>2122.4231999999979</v>
      </c>
      <c r="P126" s="44">
        <v>6006.00630000002</v>
      </c>
      <c r="Q126" s="44">
        <v>8038.1142</v>
      </c>
      <c r="R126" s="44">
        <v>7300.5345000000025</v>
      </c>
      <c r="S126" s="44">
        <v>13953.805200000032</v>
      </c>
      <c r="T126" s="44">
        <v>5459.0943999999945</v>
      </c>
      <c r="U126" s="44">
        <v>0</v>
      </c>
      <c r="V126" s="44">
        <v>0</v>
      </c>
      <c r="W126" s="44">
        <v>0</v>
      </c>
      <c r="X126" s="44">
        <v>0</v>
      </c>
      <c r="Y126" s="44">
        <v>0</v>
      </c>
      <c r="Z126" s="44">
        <v>0</v>
      </c>
      <c r="AA126" s="44">
        <v>27011.838418867977</v>
      </c>
      <c r="AB126" s="44">
        <v>0</v>
      </c>
      <c r="AC126" s="44">
        <v>56483.094686493518</v>
      </c>
      <c r="AD126" s="44">
        <v>0</v>
      </c>
      <c r="AE126" s="44">
        <v>0</v>
      </c>
      <c r="AF126" s="44">
        <v>0</v>
      </c>
      <c r="AG126" s="44">
        <v>138243.54</v>
      </c>
      <c r="AH126" s="44">
        <v>0</v>
      </c>
      <c r="AI126" s="44">
        <v>0</v>
      </c>
      <c r="AJ126" s="44">
        <v>0</v>
      </c>
      <c r="AK126" s="44">
        <v>7207.9606000000003</v>
      </c>
      <c r="AL126" s="44">
        <v>0</v>
      </c>
      <c r="AM126" s="44">
        <v>0</v>
      </c>
      <c r="AN126" s="44">
        <v>0</v>
      </c>
      <c r="AO126" s="44">
        <v>0</v>
      </c>
      <c r="AP126" s="44">
        <v>0</v>
      </c>
      <c r="AQ126" s="44">
        <v>0</v>
      </c>
      <c r="AR126" s="44">
        <v>0</v>
      </c>
      <c r="AS126" s="44">
        <v>0</v>
      </c>
      <c r="AT126" s="44">
        <v>664857.48359999992</v>
      </c>
      <c r="AU126" s="44">
        <v>215275.86180536152</v>
      </c>
      <c r="AV126" s="44">
        <v>145451.5006</v>
      </c>
      <c r="AW126" s="44">
        <v>155616.43321649352</v>
      </c>
      <c r="AX126" s="62">
        <v>1025584.8460053614</v>
      </c>
      <c r="AY126" s="62">
        <v>1018376.8854053614</v>
      </c>
      <c r="AZ126" s="62">
        <v>4610</v>
      </c>
      <c r="BA126" s="62">
        <v>857460</v>
      </c>
      <c r="BB126" s="62">
        <v>0</v>
      </c>
      <c r="BC126" s="62">
        <v>0</v>
      </c>
      <c r="BD126" s="62">
        <v>1025584.8460053614</v>
      </c>
      <c r="BE126" s="44">
        <v>1025584.8460053613</v>
      </c>
      <c r="BF126" s="44">
        <v>0</v>
      </c>
      <c r="BG126" s="62">
        <v>864667.96059999999</v>
      </c>
      <c r="BH126" s="62">
        <v>719216.46</v>
      </c>
      <c r="BI126" s="44">
        <v>880133.34540536138</v>
      </c>
      <c r="BJ126" s="44">
        <v>4731.8997064804371</v>
      </c>
      <c r="BK126" s="44">
        <v>4560.7625519801977</v>
      </c>
      <c r="BL126" s="45">
        <v>3.7523802774151183E-2</v>
      </c>
      <c r="BM126" s="45">
        <v>0</v>
      </c>
      <c r="BN126" s="44">
        <v>0</v>
      </c>
      <c r="BO126" s="62">
        <v>1025584.8460053614</v>
      </c>
      <c r="BP126" s="62">
        <v>5475.1445451901154</v>
      </c>
      <c r="BQ126" s="62" t="s">
        <v>92</v>
      </c>
      <c r="BR126" s="62">
        <v>5513.8970215342015</v>
      </c>
      <c r="BS126" s="53">
        <v>3.0826618840707143E-2</v>
      </c>
      <c r="BT126" s="44">
        <v>-4663.0200000000004</v>
      </c>
      <c r="BU126" s="44">
        <v>1020921.8260053614</v>
      </c>
      <c r="BV126" s="44">
        <v>0</v>
      </c>
      <c r="BW126" s="44">
        <v>1020921.8260053614</v>
      </c>
      <c r="BX126" s="44">
        <v>7207.9606000000003</v>
      </c>
      <c r="BY126" s="44">
        <v>1013713.8654053614</v>
      </c>
    </row>
    <row r="127" spans="1:77">
      <c r="A127">
        <v>3353</v>
      </c>
      <c r="B127" s="60">
        <v>103445</v>
      </c>
      <c r="C127" s="60">
        <v>3303353</v>
      </c>
      <c r="D127" s="61" t="s">
        <v>611</v>
      </c>
      <c r="E127" s="52">
        <v>652</v>
      </c>
      <c r="F127" s="52">
        <v>652</v>
      </c>
      <c r="G127" s="52">
        <v>0</v>
      </c>
      <c r="H127" s="44">
        <v>2330575.6952</v>
      </c>
      <c r="I127" s="44">
        <v>0</v>
      </c>
      <c r="J127" s="44">
        <v>0</v>
      </c>
      <c r="K127" s="44">
        <v>40321.031799999946</v>
      </c>
      <c r="L127" s="44">
        <v>0</v>
      </c>
      <c r="M127" s="44">
        <v>79819.185399999827</v>
      </c>
      <c r="N127" s="44">
        <v>0</v>
      </c>
      <c r="O127" s="44">
        <v>4716.4960000000046</v>
      </c>
      <c r="P127" s="44">
        <v>2002.002099999999</v>
      </c>
      <c r="Q127" s="44">
        <v>8038.1142000000045</v>
      </c>
      <c r="R127" s="44">
        <v>11194.152899999999</v>
      </c>
      <c r="S127" s="44">
        <v>16021.035600000016</v>
      </c>
      <c r="T127" s="44">
        <v>3411.9340000000011</v>
      </c>
      <c r="U127" s="44">
        <v>0</v>
      </c>
      <c r="V127" s="44">
        <v>0</v>
      </c>
      <c r="W127" s="44">
        <v>0</v>
      </c>
      <c r="X127" s="44">
        <v>0</v>
      </c>
      <c r="Y127" s="44">
        <v>0</v>
      </c>
      <c r="Z127" s="44">
        <v>0</v>
      </c>
      <c r="AA127" s="44">
        <v>33717.435139393943</v>
      </c>
      <c r="AB127" s="44">
        <v>0</v>
      </c>
      <c r="AC127" s="44">
        <v>160509.99121603637</v>
      </c>
      <c r="AD127" s="44">
        <v>0</v>
      </c>
      <c r="AE127" s="44">
        <v>0</v>
      </c>
      <c r="AF127" s="44">
        <v>0</v>
      </c>
      <c r="AG127" s="44">
        <v>138243.54</v>
      </c>
      <c r="AH127" s="44">
        <v>0</v>
      </c>
      <c r="AI127" s="44">
        <v>0</v>
      </c>
      <c r="AJ127" s="44">
        <v>0</v>
      </c>
      <c r="AK127" s="44">
        <v>11218.183199999999</v>
      </c>
      <c r="AL127" s="44">
        <v>0</v>
      </c>
      <c r="AM127" s="44">
        <v>0</v>
      </c>
      <c r="AN127" s="44">
        <v>0</v>
      </c>
      <c r="AO127" s="44">
        <v>0</v>
      </c>
      <c r="AP127" s="44">
        <v>0</v>
      </c>
      <c r="AQ127" s="44">
        <v>0</v>
      </c>
      <c r="AR127" s="44">
        <v>0</v>
      </c>
      <c r="AS127" s="44">
        <v>0</v>
      </c>
      <c r="AT127" s="44">
        <v>2330575.6952</v>
      </c>
      <c r="AU127" s="44">
        <v>359751.37835543009</v>
      </c>
      <c r="AV127" s="44">
        <v>149461.72320000001</v>
      </c>
      <c r="AW127" s="44">
        <v>359800.75197603623</v>
      </c>
      <c r="AX127" s="62">
        <v>2839788.7967554298</v>
      </c>
      <c r="AY127" s="62">
        <v>2828570.61355543</v>
      </c>
      <c r="AZ127" s="62">
        <v>4610</v>
      </c>
      <c r="BA127" s="62">
        <v>3005720</v>
      </c>
      <c r="BB127" s="62">
        <v>177149.38644457003</v>
      </c>
      <c r="BC127" s="62">
        <v>0</v>
      </c>
      <c r="BD127" s="62">
        <v>3016938.1831999999</v>
      </c>
      <c r="BE127" s="44">
        <v>3016938.1832000003</v>
      </c>
      <c r="BF127" s="44">
        <v>0</v>
      </c>
      <c r="BG127" s="62">
        <v>3016938.1831999999</v>
      </c>
      <c r="BH127" s="62">
        <v>2867476.46</v>
      </c>
      <c r="BI127" s="44">
        <v>2867476.46</v>
      </c>
      <c r="BJ127" s="44">
        <v>4397.9700306748464</v>
      </c>
      <c r="BK127" s="44">
        <v>4338.0390576687114</v>
      </c>
      <c r="BL127" s="45">
        <v>1.381522208754438E-2</v>
      </c>
      <c r="BM127" s="45">
        <v>0</v>
      </c>
      <c r="BN127" s="44">
        <v>0</v>
      </c>
      <c r="BO127" s="62">
        <v>3016938.1831999999</v>
      </c>
      <c r="BP127" s="62">
        <v>4610</v>
      </c>
      <c r="BQ127" s="62" t="s">
        <v>92</v>
      </c>
      <c r="BR127" s="62">
        <v>4627.2058024539874</v>
      </c>
      <c r="BS127" s="53">
        <v>1.4559635177213037E-2</v>
      </c>
      <c r="BT127" s="44">
        <v>-16345.64</v>
      </c>
      <c r="BU127" s="44">
        <v>3000592.5431999997</v>
      </c>
      <c r="BV127" s="44">
        <v>0</v>
      </c>
      <c r="BW127" s="44">
        <v>3000592.5431999997</v>
      </c>
      <c r="BX127" s="44">
        <v>11218.183199999999</v>
      </c>
      <c r="BY127" s="44">
        <v>2989374.36</v>
      </c>
    </row>
    <row r="128" spans="1:77">
      <c r="A128">
        <v>3355</v>
      </c>
      <c r="B128" s="60">
        <v>103447</v>
      </c>
      <c r="C128" s="60">
        <v>3303355</v>
      </c>
      <c r="D128" s="61" t="s">
        <v>521</v>
      </c>
      <c r="E128" s="52">
        <v>410</v>
      </c>
      <c r="F128" s="52">
        <v>410</v>
      </c>
      <c r="G128" s="52">
        <v>0</v>
      </c>
      <c r="H128" s="44">
        <v>1465546.0659999999</v>
      </c>
      <c r="I128" s="44">
        <v>0</v>
      </c>
      <c r="J128" s="44">
        <v>0</v>
      </c>
      <c r="K128" s="44">
        <v>47205.110400000078</v>
      </c>
      <c r="L128" s="44">
        <v>0</v>
      </c>
      <c r="M128" s="44">
        <v>83933.576399999976</v>
      </c>
      <c r="N128" s="44">
        <v>0</v>
      </c>
      <c r="O128" s="44">
        <v>5200.8305525672331</v>
      </c>
      <c r="P128" s="44">
        <v>30676.853694376485</v>
      </c>
      <c r="Q128" s="44">
        <v>10743.689721271394</v>
      </c>
      <c r="R128" s="44">
        <v>10733.630185819062</v>
      </c>
      <c r="S128" s="44">
        <v>15542.135647921752</v>
      </c>
      <c r="T128" s="44">
        <v>6156.4970464547614</v>
      </c>
      <c r="U128" s="44">
        <v>0</v>
      </c>
      <c r="V128" s="44">
        <v>0</v>
      </c>
      <c r="W128" s="44">
        <v>0</v>
      </c>
      <c r="X128" s="44">
        <v>0</v>
      </c>
      <c r="Y128" s="44">
        <v>0</v>
      </c>
      <c r="Z128" s="44">
        <v>0</v>
      </c>
      <c r="AA128" s="44">
        <v>44322.161474719018</v>
      </c>
      <c r="AB128" s="44">
        <v>0</v>
      </c>
      <c r="AC128" s="44">
        <v>157138.22290004432</v>
      </c>
      <c r="AD128" s="44">
        <v>0</v>
      </c>
      <c r="AE128" s="44">
        <v>11945.783040000006</v>
      </c>
      <c r="AF128" s="44">
        <v>0</v>
      </c>
      <c r="AG128" s="44">
        <v>138243.54</v>
      </c>
      <c r="AH128" s="44">
        <v>0</v>
      </c>
      <c r="AI128" s="44">
        <v>0</v>
      </c>
      <c r="AJ128" s="44">
        <v>0</v>
      </c>
      <c r="AK128" s="44">
        <v>6200.9605000000001</v>
      </c>
      <c r="AL128" s="44">
        <v>0</v>
      </c>
      <c r="AM128" s="44">
        <v>0</v>
      </c>
      <c r="AN128" s="44">
        <v>0</v>
      </c>
      <c r="AO128" s="44">
        <v>0</v>
      </c>
      <c r="AP128" s="44">
        <v>0</v>
      </c>
      <c r="AQ128" s="44">
        <v>0</v>
      </c>
      <c r="AR128" s="44">
        <v>0</v>
      </c>
      <c r="AS128" s="44">
        <v>0</v>
      </c>
      <c r="AT128" s="44">
        <v>1465546.0659999999</v>
      </c>
      <c r="AU128" s="44">
        <v>423598.49106317409</v>
      </c>
      <c r="AV128" s="44">
        <v>144444.50049999999</v>
      </c>
      <c r="AW128" s="44">
        <v>335511.68802424963</v>
      </c>
      <c r="AX128" s="62">
        <v>2033589.0575631741</v>
      </c>
      <c r="AY128" s="62">
        <v>2027388.097063174</v>
      </c>
      <c r="AZ128" s="62">
        <v>4610</v>
      </c>
      <c r="BA128" s="62">
        <v>1890100</v>
      </c>
      <c r="BB128" s="62">
        <v>0</v>
      </c>
      <c r="BC128" s="62">
        <v>0</v>
      </c>
      <c r="BD128" s="62">
        <v>2033589.0575631741</v>
      </c>
      <c r="BE128" s="44">
        <v>2033589.0575631741</v>
      </c>
      <c r="BF128" s="44">
        <v>0</v>
      </c>
      <c r="BG128" s="62">
        <v>1896300.9605</v>
      </c>
      <c r="BH128" s="62">
        <v>1751856.46</v>
      </c>
      <c r="BI128" s="44">
        <v>1889144.557063174</v>
      </c>
      <c r="BJ128" s="44">
        <v>4607.6696513735951</v>
      </c>
      <c r="BK128" s="44">
        <v>4476.8148571072315</v>
      </c>
      <c r="BL128" s="45">
        <v>2.9229440672227748E-2</v>
      </c>
      <c r="BM128" s="45">
        <v>0</v>
      </c>
      <c r="BN128" s="44">
        <v>0</v>
      </c>
      <c r="BO128" s="62">
        <v>2033589.0575631741</v>
      </c>
      <c r="BP128" s="62">
        <v>4944.8490172272541</v>
      </c>
      <c r="BQ128" s="62" t="s">
        <v>92</v>
      </c>
      <c r="BR128" s="62">
        <v>4959.9733111296928</v>
      </c>
      <c r="BS128" s="53">
        <v>2.2944347166649504E-2</v>
      </c>
      <c r="BT128" s="44">
        <v>-10278.700000000001</v>
      </c>
      <c r="BU128" s="44">
        <v>2023310.3575631741</v>
      </c>
      <c r="BV128" s="44">
        <v>0</v>
      </c>
      <c r="BW128" s="44">
        <v>2023310.3575631741</v>
      </c>
      <c r="BX128" s="44">
        <v>6200.9605000000001</v>
      </c>
      <c r="BY128" s="44">
        <v>2017109.3970631741</v>
      </c>
    </row>
    <row r="129" spans="1:77">
      <c r="A129">
        <v>3361</v>
      </c>
      <c r="B129" s="60">
        <v>103453</v>
      </c>
      <c r="C129" s="60">
        <v>3303361</v>
      </c>
      <c r="D129" s="61" t="s">
        <v>870</v>
      </c>
      <c r="E129" s="52">
        <v>346</v>
      </c>
      <c r="F129" s="52">
        <v>346</v>
      </c>
      <c r="G129" s="52">
        <v>0</v>
      </c>
      <c r="H129" s="44">
        <v>1236777.8995999999</v>
      </c>
      <c r="I129" s="44">
        <v>0</v>
      </c>
      <c r="J129" s="44">
        <v>0</v>
      </c>
      <c r="K129" s="44">
        <v>73266.265100000004</v>
      </c>
      <c r="L129" s="44">
        <v>0</v>
      </c>
      <c r="M129" s="44">
        <v>127546.12100000007</v>
      </c>
      <c r="N129" s="44">
        <v>0</v>
      </c>
      <c r="O129" s="44">
        <v>3065.7223999999983</v>
      </c>
      <c r="P129" s="44">
        <v>12298.012900000016</v>
      </c>
      <c r="Q129" s="44">
        <v>16076.228399999927</v>
      </c>
      <c r="R129" s="44">
        <v>38449.481699999946</v>
      </c>
      <c r="S129" s="44">
        <v>51163.952400000038</v>
      </c>
      <c r="T129" s="44">
        <v>23201.151199999997</v>
      </c>
      <c r="U129" s="44">
        <v>0</v>
      </c>
      <c r="V129" s="44">
        <v>0</v>
      </c>
      <c r="W129" s="44">
        <v>0</v>
      </c>
      <c r="X129" s="44">
        <v>0</v>
      </c>
      <c r="Y129" s="44">
        <v>0</v>
      </c>
      <c r="Z129" s="44">
        <v>0</v>
      </c>
      <c r="AA129" s="44">
        <v>34709.910635880435</v>
      </c>
      <c r="AB129" s="44">
        <v>0</v>
      </c>
      <c r="AC129" s="44">
        <v>93158.924656311006</v>
      </c>
      <c r="AD129" s="44">
        <v>0</v>
      </c>
      <c r="AE129" s="44">
        <v>0</v>
      </c>
      <c r="AF129" s="44">
        <v>0</v>
      </c>
      <c r="AG129" s="44">
        <v>138243.54</v>
      </c>
      <c r="AH129" s="44">
        <v>0</v>
      </c>
      <c r="AI129" s="44">
        <v>0</v>
      </c>
      <c r="AJ129" s="44">
        <v>0</v>
      </c>
      <c r="AK129" s="44">
        <v>6942.9621999999999</v>
      </c>
      <c r="AL129" s="44">
        <v>0</v>
      </c>
      <c r="AM129" s="44">
        <v>0</v>
      </c>
      <c r="AN129" s="44">
        <v>0</v>
      </c>
      <c r="AO129" s="44">
        <v>0</v>
      </c>
      <c r="AP129" s="44">
        <v>0</v>
      </c>
      <c r="AQ129" s="44">
        <v>0</v>
      </c>
      <c r="AR129" s="44">
        <v>0</v>
      </c>
      <c r="AS129" s="44">
        <v>0</v>
      </c>
      <c r="AT129" s="44">
        <v>1236777.8995999999</v>
      </c>
      <c r="AU129" s="44">
        <v>472935.77039219148</v>
      </c>
      <c r="AV129" s="44">
        <v>145186.50220000002</v>
      </c>
      <c r="AW129" s="44">
        <v>327531.28718631103</v>
      </c>
      <c r="AX129" s="62">
        <v>1854900.1721921912</v>
      </c>
      <c r="AY129" s="62">
        <v>1847957.2099921913</v>
      </c>
      <c r="AZ129" s="62">
        <v>4610</v>
      </c>
      <c r="BA129" s="62">
        <v>1595060</v>
      </c>
      <c r="BB129" s="62">
        <v>0</v>
      </c>
      <c r="BC129" s="62">
        <v>0</v>
      </c>
      <c r="BD129" s="62">
        <v>1854900.1721921912</v>
      </c>
      <c r="BE129" s="44">
        <v>1854900.1721921912</v>
      </c>
      <c r="BF129" s="44">
        <v>0</v>
      </c>
      <c r="BG129" s="62">
        <v>1602002.9622</v>
      </c>
      <c r="BH129" s="62">
        <v>1456816.46</v>
      </c>
      <c r="BI129" s="44">
        <v>1709713.6699921913</v>
      </c>
      <c r="BJ129" s="44">
        <v>4941.3689884167379</v>
      </c>
      <c r="BK129" s="44">
        <v>4894.2897345205474</v>
      </c>
      <c r="BL129" s="45">
        <v>9.6192208573451874E-3</v>
      </c>
      <c r="BM129" s="45">
        <v>0</v>
      </c>
      <c r="BN129" s="44">
        <v>0</v>
      </c>
      <c r="BO129" s="62">
        <v>1854900.1721921912</v>
      </c>
      <c r="BP129" s="62">
        <v>5340.9167918849462</v>
      </c>
      <c r="BQ129" s="62" t="s">
        <v>92</v>
      </c>
      <c r="BR129" s="62">
        <v>5360.9831566248304</v>
      </c>
      <c r="BS129" s="53">
        <v>1.3507786836240099E-2</v>
      </c>
      <c r="BT129" s="44">
        <v>-8674.2199999999993</v>
      </c>
      <c r="BU129" s="44">
        <v>1846225.9521921913</v>
      </c>
      <c r="BV129" s="44">
        <v>0</v>
      </c>
      <c r="BW129" s="44">
        <v>1846225.9521921913</v>
      </c>
      <c r="BX129" s="44">
        <v>6942.9621999999999</v>
      </c>
      <c r="BY129" s="44">
        <v>1839282.9899921913</v>
      </c>
    </row>
    <row r="130" spans="1:77">
      <c r="A130">
        <v>3363</v>
      </c>
      <c r="B130" s="60">
        <v>103455</v>
      </c>
      <c r="C130" s="60">
        <v>3303363</v>
      </c>
      <c r="D130" s="61" t="s">
        <v>357</v>
      </c>
      <c r="E130" s="52">
        <v>322</v>
      </c>
      <c r="F130" s="52">
        <v>322</v>
      </c>
      <c r="G130" s="52">
        <v>0</v>
      </c>
      <c r="H130" s="44">
        <v>1150989.8372</v>
      </c>
      <c r="I130" s="44">
        <v>0</v>
      </c>
      <c r="J130" s="44">
        <v>0</v>
      </c>
      <c r="K130" s="44">
        <v>52122.309400000013</v>
      </c>
      <c r="L130" s="44">
        <v>0</v>
      </c>
      <c r="M130" s="44">
        <v>90516.60199999997</v>
      </c>
      <c r="N130" s="44">
        <v>0</v>
      </c>
      <c r="O130" s="44">
        <v>3065.7223999999987</v>
      </c>
      <c r="P130" s="44">
        <v>18876.019800000005</v>
      </c>
      <c r="Q130" s="44">
        <v>10717.485599999996</v>
      </c>
      <c r="R130" s="44">
        <v>9247.3436999999958</v>
      </c>
      <c r="S130" s="44">
        <v>22222.726799999924</v>
      </c>
      <c r="T130" s="44">
        <v>13647.735999999995</v>
      </c>
      <c r="U130" s="44">
        <v>0</v>
      </c>
      <c r="V130" s="44">
        <v>0</v>
      </c>
      <c r="W130" s="44">
        <v>0</v>
      </c>
      <c r="X130" s="44">
        <v>0</v>
      </c>
      <c r="Y130" s="44">
        <v>0</v>
      </c>
      <c r="Z130" s="44">
        <v>0</v>
      </c>
      <c r="AA130" s="44">
        <v>19133.015177060915</v>
      </c>
      <c r="AB130" s="44">
        <v>0</v>
      </c>
      <c r="AC130" s="44">
        <v>112171.0429426747</v>
      </c>
      <c r="AD130" s="44">
        <v>0</v>
      </c>
      <c r="AE130" s="44">
        <v>0</v>
      </c>
      <c r="AF130" s="44">
        <v>0</v>
      </c>
      <c r="AG130" s="44">
        <v>138243.54</v>
      </c>
      <c r="AH130" s="44">
        <v>0</v>
      </c>
      <c r="AI130" s="44">
        <v>0</v>
      </c>
      <c r="AJ130" s="44">
        <v>0</v>
      </c>
      <c r="AK130" s="44">
        <v>3073.9834999999998</v>
      </c>
      <c r="AL130" s="44">
        <v>0</v>
      </c>
      <c r="AM130" s="44">
        <v>0</v>
      </c>
      <c r="AN130" s="44">
        <v>0</v>
      </c>
      <c r="AO130" s="44">
        <v>0</v>
      </c>
      <c r="AP130" s="44">
        <v>0</v>
      </c>
      <c r="AQ130" s="44">
        <v>0</v>
      </c>
      <c r="AR130" s="44">
        <v>0</v>
      </c>
      <c r="AS130" s="44">
        <v>0</v>
      </c>
      <c r="AT130" s="44">
        <v>1150989.8372</v>
      </c>
      <c r="AU130" s="44">
        <v>351720.00381973549</v>
      </c>
      <c r="AV130" s="44">
        <v>141317.52350000001</v>
      </c>
      <c r="AW130" s="44">
        <v>279928.50765267463</v>
      </c>
      <c r="AX130" s="62">
        <v>1644027.3645197353</v>
      </c>
      <c r="AY130" s="62">
        <v>1640953.3810197352</v>
      </c>
      <c r="AZ130" s="62">
        <v>4610</v>
      </c>
      <c r="BA130" s="62">
        <v>1484420</v>
      </c>
      <c r="BB130" s="62">
        <v>0</v>
      </c>
      <c r="BC130" s="62">
        <v>0</v>
      </c>
      <c r="BD130" s="62">
        <v>1644027.3645197353</v>
      </c>
      <c r="BE130" s="44">
        <v>1644027.3645197353</v>
      </c>
      <c r="BF130" s="44">
        <v>0</v>
      </c>
      <c r="BG130" s="62">
        <v>1487493.9835000001</v>
      </c>
      <c r="BH130" s="62">
        <v>1346176.46</v>
      </c>
      <c r="BI130" s="44">
        <v>1502709.8410197352</v>
      </c>
      <c r="BJ130" s="44">
        <v>4666.8007485084945</v>
      </c>
      <c r="BK130" s="44">
        <v>4586.9378504297993</v>
      </c>
      <c r="BL130" s="45">
        <v>1.7410939647070221E-2</v>
      </c>
      <c r="BM130" s="45">
        <v>0</v>
      </c>
      <c r="BN130" s="44">
        <v>0</v>
      </c>
      <c r="BO130" s="62">
        <v>1644027.3645197353</v>
      </c>
      <c r="BP130" s="62">
        <v>5096.1285124836495</v>
      </c>
      <c r="BQ130" s="62" t="s">
        <v>92</v>
      </c>
      <c r="BR130" s="62">
        <v>5105.6750450923455</v>
      </c>
      <c r="BS130" s="53">
        <v>2.0652120777631122E-2</v>
      </c>
      <c r="BT130" s="44">
        <v>-8072.54</v>
      </c>
      <c r="BU130" s="44">
        <v>1635954.8245197353</v>
      </c>
      <c r="BV130" s="44">
        <v>0</v>
      </c>
      <c r="BW130" s="44">
        <v>1635954.8245197353</v>
      </c>
      <c r="BX130" s="44">
        <v>3073.9834999999998</v>
      </c>
      <c r="BY130" s="44">
        <v>1632880.8410197352</v>
      </c>
    </row>
    <row r="131" spans="1:77">
      <c r="A131">
        <v>3365</v>
      </c>
      <c r="B131" s="60">
        <v>103456</v>
      </c>
      <c r="C131" s="60">
        <v>3303365</v>
      </c>
      <c r="D131" s="61" t="s">
        <v>816</v>
      </c>
      <c r="E131" s="52">
        <v>209</v>
      </c>
      <c r="F131" s="52">
        <v>209</v>
      </c>
      <c r="G131" s="52">
        <v>0</v>
      </c>
      <c r="H131" s="44">
        <v>747071.04339999997</v>
      </c>
      <c r="I131" s="44">
        <v>0</v>
      </c>
      <c r="J131" s="44">
        <v>0</v>
      </c>
      <c r="K131" s="44">
        <v>19177.076099999987</v>
      </c>
      <c r="L131" s="44">
        <v>0</v>
      </c>
      <c r="M131" s="44">
        <v>32092.249799999976</v>
      </c>
      <c r="N131" s="44">
        <v>0</v>
      </c>
      <c r="O131" s="44">
        <v>17686.859999999982</v>
      </c>
      <c r="P131" s="44">
        <v>5720.0059999999985</v>
      </c>
      <c r="Q131" s="44">
        <v>4912.1808999999976</v>
      </c>
      <c r="R131" s="44">
        <v>8273.9390999999996</v>
      </c>
      <c r="S131" s="44">
        <v>13436.99759999999</v>
      </c>
      <c r="T131" s="44">
        <v>1364.7735999999998</v>
      </c>
      <c r="U131" s="44">
        <v>0</v>
      </c>
      <c r="V131" s="44">
        <v>0</v>
      </c>
      <c r="W131" s="44">
        <v>0</v>
      </c>
      <c r="X131" s="44">
        <v>0</v>
      </c>
      <c r="Y131" s="44">
        <v>0</v>
      </c>
      <c r="Z131" s="44">
        <v>0</v>
      </c>
      <c r="AA131" s="44">
        <v>25578.124411731831</v>
      </c>
      <c r="AB131" s="44">
        <v>0</v>
      </c>
      <c r="AC131" s="44">
        <v>87468.902082913643</v>
      </c>
      <c r="AD131" s="44">
        <v>0</v>
      </c>
      <c r="AE131" s="44">
        <v>0</v>
      </c>
      <c r="AF131" s="44">
        <v>0</v>
      </c>
      <c r="AG131" s="44">
        <v>138243.54</v>
      </c>
      <c r="AH131" s="44">
        <v>0</v>
      </c>
      <c r="AI131" s="44">
        <v>0</v>
      </c>
      <c r="AJ131" s="44">
        <v>0</v>
      </c>
      <c r="AK131" s="44">
        <v>3736.4794999999999</v>
      </c>
      <c r="AL131" s="44">
        <v>0</v>
      </c>
      <c r="AM131" s="44">
        <v>0</v>
      </c>
      <c r="AN131" s="44">
        <v>0</v>
      </c>
      <c r="AO131" s="44">
        <v>0</v>
      </c>
      <c r="AP131" s="44">
        <v>0</v>
      </c>
      <c r="AQ131" s="44">
        <v>0</v>
      </c>
      <c r="AR131" s="44">
        <v>0</v>
      </c>
      <c r="AS131" s="44">
        <v>0</v>
      </c>
      <c r="AT131" s="44">
        <v>747071.04339999997</v>
      </c>
      <c r="AU131" s="44">
        <v>215711.10959464539</v>
      </c>
      <c r="AV131" s="44">
        <v>141980.01949999999</v>
      </c>
      <c r="AW131" s="44">
        <v>176154.49580291362</v>
      </c>
      <c r="AX131" s="62">
        <v>1104762.1724946452</v>
      </c>
      <c r="AY131" s="62">
        <v>1101025.6929946453</v>
      </c>
      <c r="AZ131" s="62">
        <v>4610</v>
      </c>
      <c r="BA131" s="62">
        <v>963490</v>
      </c>
      <c r="BB131" s="62">
        <v>0</v>
      </c>
      <c r="BC131" s="62">
        <v>0</v>
      </c>
      <c r="BD131" s="62">
        <v>1104762.1724946452</v>
      </c>
      <c r="BE131" s="44">
        <v>1104762.1724946455</v>
      </c>
      <c r="BF131" s="44">
        <v>0</v>
      </c>
      <c r="BG131" s="62">
        <v>967226.47950000002</v>
      </c>
      <c r="BH131" s="62">
        <v>825246.46</v>
      </c>
      <c r="BI131" s="44">
        <v>962782.15299464518</v>
      </c>
      <c r="BJ131" s="44">
        <v>4606.613172223183</v>
      </c>
      <c r="BK131" s="44">
        <v>4446.2269304761903</v>
      </c>
      <c r="BL131" s="45">
        <v>3.6072437204597511E-2</v>
      </c>
      <c r="BM131" s="45">
        <v>0</v>
      </c>
      <c r="BN131" s="44">
        <v>0</v>
      </c>
      <c r="BO131" s="62">
        <v>1104762.1724946452</v>
      </c>
      <c r="BP131" s="62">
        <v>5268.0655167207915</v>
      </c>
      <c r="BQ131" s="62" t="s">
        <v>92</v>
      </c>
      <c r="BR131" s="62">
        <v>5285.9434090652885</v>
      </c>
      <c r="BS131" s="53">
        <v>3.2664718724295883E-2</v>
      </c>
      <c r="BT131" s="44">
        <v>-5239.63</v>
      </c>
      <c r="BU131" s="44">
        <v>1099522.5424946453</v>
      </c>
      <c r="BV131" s="44">
        <v>0</v>
      </c>
      <c r="BW131" s="44">
        <v>1099522.5424946453</v>
      </c>
      <c r="BX131" s="44">
        <v>3736.4794999999999</v>
      </c>
      <c r="BY131" s="44">
        <v>1095786.0629946454</v>
      </c>
    </row>
    <row r="132" spans="1:77">
      <c r="A132">
        <v>3367</v>
      </c>
      <c r="B132" s="60">
        <v>103458</v>
      </c>
      <c r="C132" s="60">
        <v>3303367</v>
      </c>
      <c r="D132" s="61" t="s">
        <v>871</v>
      </c>
      <c r="E132" s="52">
        <v>206</v>
      </c>
      <c r="F132" s="52">
        <v>206</v>
      </c>
      <c r="G132" s="52">
        <v>0</v>
      </c>
      <c r="H132" s="44">
        <v>736347.53559999994</v>
      </c>
      <c r="I132" s="44">
        <v>0</v>
      </c>
      <c r="J132" s="44">
        <v>0</v>
      </c>
      <c r="K132" s="44">
        <v>40321.031799999953</v>
      </c>
      <c r="L132" s="44">
        <v>0</v>
      </c>
      <c r="M132" s="44">
        <v>69944.647000000012</v>
      </c>
      <c r="N132" s="44">
        <v>0</v>
      </c>
      <c r="O132" s="44">
        <v>8489.6927999999989</v>
      </c>
      <c r="P132" s="44">
        <v>286.0002999999997</v>
      </c>
      <c r="Q132" s="44">
        <v>7144.9904000000024</v>
      </c>
      <c r="R132" s="44">
        <v>3406.9160999999954</v>
      </c>
      <c r="S132" s="44">
        <v>49096.721999999958</v>
      </c>
      <c r="T132" s="44">
        <v>25930.698400000038</v>
      </c>
      <c r="U132" s="44">
        <v>0</v>
      </c>
      <c r="V132" s="44">
        <v>0</v>
      </c>
      <c r="W132" s="44">
        <v>0</v>
      </c>
      <c r="X132" s="44">
        <v>0</v>
      </c>
      <c r="Y132" s="44">
        <v>0</v>
      </c>
      <c r="Z132" s="44">
        <v>0</v>
      </c>
      <c r="AA132" s="44">
        <v>8857.9098893854825</v>
      </c>
      <c r="AB132" s="44">
        <v>0</v>
      </c>
      <c r="AC132" s="44">
        <v>51735.165805263161</v>
      </c>
      <c r="AD132" s="44">
        <v>0</v>
      </c>
      <c r="AE132" s="44">
        <v>0</v>
      </c>
      <c r="AF132" s="44">
        <v>0</v>
      </c>
      <c r="AG132" s="44">
        <v>138243.54</v>
      </c>
      <c r="AH132" s="44">
        <v>0</v>
      </c>
      <c r="AI132" s="44">
        <v>0</v>
      </c>
      <c r="AJ132" s="44">
        <v>0</v>
      </c>
      <c r="AK132" s="44">
        <v>3141.8193000000001</v>
      </c>
      <c r="AL132" s="44">
        <v>0</v>
      </c>
      <c r="AM132" s="44">
        <v>0</v>
      </c>
      <c r="AN132" s="44">
        <v>0</v>
      </c>
      <c r="AO132" s="44">
        <v>0</v>
      </c>
      <c r="AP132" s="44">
        <v>0</v>
      </c>
      <c r="AQ132" s="44">
        <v>0</v>
      </c>
      <c r="AR132" s="44">
        <v>0</v>
      </c>
      <c r="AS132" s="44">
        <v>0</v>
      </c>
      <c r="AT132" s="44">
        <v>736347.53559999994</v>
      </c>
      <c r="AU132" s="44">
        <v>265213.77449464862</v>
      </c>
      <c r="AV132" s="44">
        <v>141385.35930000001</v>
      </c>
      <c r="AW132" s="44">
        <v>190862.89198526312</v>
      </c>
      <c r="AX132" s="62">
        <v>1142946.6693946486</v>
      </c>
      <c r="AY132" s="62">
        <v>1139804.8500946485</v>
      </c>
      <c r="AZ132" s="62">
        <v>4610</v>
      </c>
      <c r="BA132" s="62">
        <v>949660</v>
      </c>
      <c r="BB132" s="62">
        <v>0</v>
      </c>
      <c r="BC132" s="62">
        <v>0</v>
      </c>
      <c r="BD132" s="62">
        <v>1142946.6693946486</v>
      </c>
      <c r="BE132" s="44">
        <v>1142946.6693946486</v>
      </c>
      <c r="BF132" s="44">
        <v>0</v>
      </c>
      <c r="BG132" s="62">
        <v>952801.81929999997</v>
      </c>
      <c r="BH132" s="62">
        <v>811416.46</v>
      </c>
      <c r="BI132" s="44">
        <v>1001561.3100946486</v>
      </c>
      <c r="BJ132" s="44">
        <v>4861.9481072555755</v>
      </c>
      <c r="BK132" s="44">
        <v>4835.5603723809536</v>
      </c>
      <c r="BL132" s="45">
        <v>5.457016941684662E-3</v>
      </c>
      <c r="BM132" s="45">
        <v>0</v>
      </c>
      <c r="BN132" s="44">
        <v>0</v>
      </c>
      <c r="BO132" s="62">
        <v>1142946.6693946486</v>
      </c>
      <c r="BP132" s="62">
        <v>5533.0332528866438</v>
      </c>
      <c r="BQ132" s="62" t="s">
        <v>92</v>
      </c>
      <c r="BR132" s="62">
        <v>5548.2848028866438</v>
      </c>
      <c r="BS132" s="53">
        <v>6.7404116638092315E-3</v>
      </c>
      <c r="BT132" s="44">
        <v>-5164.42</v>
      </c>
      <c r="BU132" s="44">
        <v>1137782.2493946487</v>
      </c>
      <c r="BV132" s="44">
        <v>0</v>
      </c>
      <c r="BW132" s="44">
        <v>1137782.2493946487</v>
      </c>
      <c r="BX132" s="44">
        <v>3141.8193000000001</v>
      </c>
      <c r="BY132" s="44">
        <v>1134640.4300946486</v>
      </c>
    </row>
    <row r="133" spans="1:77">
      <c r="A133">
        <v>3371</v>
      </c>
      <c r="B133" s="60">
        <v>103459</v>
      </c>
      <c r="C133" s="60">
        <v>3303371</v>
      </c>
      <c r="D133" s="61" t="s">
        <v>363</v>
      </c>
      <c r="E133" s="52">
        <v>265</v>
      </c>
      <c r="F133" s="52">
        <v>265</v>
      </c>
      <c r="G133" s="52">
        <v>0</v>
      </c>
      <c r="H133" s="44">
        <v>947243.1889999999</v>
      </c>
      <c r="I133" s="44">
        <v>0</v>
      </c>
      <c r="J133" s="44">
        <v>0</v>
      </c>
      <c r="K133" s="44">
        <v>27044.594500000032</v>
      </c>
      <c r="L133" s="44">
        <v>0</v>
      </c>
      <c r="M133" s="44">
        <v>45258.30100000005</v>
      </c>
      <c r="N133" s="44">
        <v>0</v>
      </c>
      <c r="O133" s="44">
        <v>1657.0265303030294</v>
      </c>
      <c r="P133" s="44">
        <v>8612.5090340909355</v>
      </c>
      <c r="Q133" s="44">
        <v>4482.5342234848513</v>
      </c>
      <c r="R133" s="44">
        <v>13679.284340909082</v>
      </c>
      <c r="S133" s="44">
        <v>16600.486545454514</v>
      </c>
      <c r="T133" s="44">
        <v>33563.608325757647</v>
      </c>
      <c r="U133" s="44">
        <v>0</v>
      </c>
      <c r="V133" s="44">
        <v>0</v>
      </c>
      <c r="W133" s="44">
        <v>0</v>
      </c>
      <c r="X133" s="44">
        <v>0</v>
      </c>
      <c r="Y133" s="44">
        <v>0</v>
      </c>
      <c r="Z133" s="44">
        <v>0</v>
      </c>
      <c r="AA133" s="44">
        <v>12203.23910555556</v>
      </c>
      <c r="AB133" s="44">
        <v>0</v>
      </c>
      <c r="AC133" s="44">
        <v>122726.76422499999</v>
      </c>
      <c r="AD133" s="44">
        <v>0</v>
      </c>
      <c r="AE133" s="44">
        <v>0</v>
      </c>
      <c r="AF133" s="44">
        <v>0</v>
      </c>
      <c r="AG133" s="44">
        <v>138243.54</v>
      </c>
      <c r="AH133" s="44">
        <v>0</v>
      </c>
      <c r="AI133" s="44">
        <v>0</v>
      </c>
      <c r="AJ133" s="44">
        <v>0</v>
      </c>
      <c r="AK133" s="44">
        <v>18761.882600000001</v>
      </c>
      <c r="AL133" s="44">
        <v>0</v>
      </c>
      <c r="AM133" s="44">
        <v>0</v>
      </c>
      <c r="AN133" s="44">
        <v>0</v>
      </c>
      <c r="AO133" s="44">
        <v>0</v>
      </c>
      <c r="AP133" s="44">
        <v>0</v>
      </c>
      <c r="AQ133" s="44">
        <v>0</v>
      </c>
      <c r="AR133" s="44">
        <v>0</v>
      </c>
      <c r="AS133" s="44">
        <v>0</v>
      </c>
      <c r="AT133" s="44">
        <v>947243.1889999999</v>
      </c>
      <c r="AU133" s="44">
        <v>285828.34783055569</v>
      </c>
      <c r="AV133" s="44">
        <v>157005.42260000002</v>
      </c>
      <c r="AW133" s="44">
        <v>245538.09592500006</v>
      </c>
      <c r="AX133" s="62">
        <v>1390076.9594305556</v>
      </c>
      <c r="AY133" s="62">
        <v>1371315.0768305557</v>
      </c>
      <c r="AZ133" s="62">
        <v>4610</v>
      </c>
      <c r="BA133" s="62">
        <v>1221650</v>
      </c>
      <c r="BB133" s="62">
        <v>0</v>
      </c>
      <c r="BC133" s="62">
        <v>0</v>
      </c>
      <c r="BD133" s="62">
        <v>1390076.9594305556</v>
      </c>
      <c r="BE133" s="44">
        <v>1390076.9594305553</v>
      </c>
      <c r="BF133" s="44">
        <v>0</v>
      </c>
      <c r="BG133" s="62">
        <v>1240411.8825999999</v>
      </c>
      <c r="BH133" s="62">
        <v>1083406.46</v>
      </c>
      <c r="BI133" s="44">
        <v>1233071.5368305556</v>
      </c>
      <c r="BJ133" s="44">
        <v>4653.100138983229</v>
      </c>
      <c r="BK133" s="44">
        <v>4503.0892670370358</v>
      </c>
      <c r="BL133" s="45">
        <v>3.3312879903199893E-2</v>
      </c>
      <c r="BM133" s="45">
        <v>0</v>
      </c>
      <c r="BN133" s="44">
        <v>0</v>
      </c>
      <c r="BO133" s="62">
        <v>1390076.9594305556</v>
      </c>
      <c r="BP133" s="62">
        <v>5174.7738748322854</v>
      </c>
      <c r="BQ133" s="62" t="s">
        <v>92</v>
      </c>
      <c r="BR133" s="62">
        <v>5245.5734318134173</v>
      </c>
      <c r="BS133" s="53">
        <v>4.3604491675271584E-2</v>
      </c>
      <c r="BT133" s="44">
        <v>-6643.55</v>
      </c>
      <c r="BU133" s="44">
        <v>1383433.4094305555</v>
      </c>
      <c r="BV133" s="44">
        <v>0</v>
      </c>
      <c r="BW133" s="44">
        <v>1383433.4094305555</v>
      </c>
      <c r="BX133" s="44">
        <v>18761.882600000001</v>
      </c>
      <c r="BY133" s="44">
        <v>1364671.5268305556</v>
      </c>
    </row>
    <row r="134" spans="1:77">
      <c r="A134">
        <v>3372</v>
      </c>
      <c r="B134" s="60">
        <v>103460</v>
      </c>
      <c r="C134" s="60">
        <v>3303372</v>
      </c>
      <c r="D134" s="61" t="s">
        <v>518</v>
      </c>
      <c r="E134" s="52">
        <v>575</v>
      </c>
      <c r="F134" s="52">
        <v>575</v>
      </c>
      <c r="G134" s="52">
        <v>0</v>
      </c>
      <c r="H134" s="44">
        <v>2055338.9949999999</v>
      </c>
      <c r="I134" s="44">
        <v>0</v>
      </c>
      <c r="J134" s="44">
        <v>0</v>
      </c>
      <c r="K134" s="44">
        <v>128830.61379999986</v>
      </c>
      <c r="L134" s="44">
        <v>0</v>
      </c>
      <c r="M134" s="44">
        <v>217239.84480000014</v>
      </c>
      <c r="N134" s="44">
        <v>0</v>
      </c>
      <c r="O134" s="44">
        <v>14149.488000000067</v>
      </c>
      <c r="P134" s="44">
        <v>23166.02429999995</v>
      </c>
      <c r="Q134" s="44">
        <v>74129.275399999999</v>
      </c>
      <c r="R134" s="44">
        <v>56944.169099999934</v>
      </c>
      <c r="S134" s="44">
        <v>42895.030800000146</v>
      </c>
      <c r="T134" s="44">
        <v>17059.669999999995</v>
      </c>
      <c r="U134" s="44">
        <v>0</v>
      </c>
      <c r="V134" s="44">
        <v>0</v>
      </c>
      <c r="W134" s="44">
        <v>0</v>
      </c>
      <c r="X134" s="44">
        <v>0</v>
      </c>
      <c r="Y134" s="44">
        <v>0</v>
      </c>
      <c r="Z134" s="44">
        <v>0</v>
      </c>
      <c r="AA134" s="44">
        <v>56288.015343625601</v>
      </c>
      <c r="AB134" s="44">
        <v>0</v>
      </c>
      <c r="AC134" s="44">
        <v>235899.36580700058</v>
      </c>
      <c r="AD134" s="44">
        <v>0</v>
      </c>
      <c r="AE134" s="44">
        <v>7225.2720000000199</v>
      </c>
      <c r="AF134" s="44">
        <v>0</v>
      </c>
      <c r="AG134" s="44">
        <v>138243.54</v>
      </c>
      <c r="AH134" s="44">
        <v>0</v>
      </c>
      <c r="AI134" s="44">
        <v>0</v>
      </c>
      <c r="AJ134" s="44">
        <v>0</v>
      </c>
      <c r="AK134" s="44">
        <v>5776.9610000000002</v>
      </c>
      <c r="AL134" s="44">
        <v>0</v>
      </c>
      <c r="AM134" s="44">
        <v>0</v>
      </c>
      <c r="AN134" s="44">
        <v>0</v>
      </c>
      <c r="AO134" s="44">
        <v>0</v>
      </c>
      <c r="AP134" s="44">
        <v>0</v>
      </c>
      <c r="AQ134" s="44">
        <v>0</v>
      </c>
      <c r="AR134" s="44">
        <v>0</v>
      </c>
      <c r="AS134" s="44">
        <v>0</v>
      </c>
      <c r="AT134" s="44">
        <v>2055338.9949999999</v>
      </c>
      <c r="AU134" s="44">
        <v>873826.76935062627</v>
      </c>
      <c r="AV134" s="44">
        <v>144020.50100000002</v>
      </c>
      <c r="AW134" s="44">
        <v>625873.37365700072</v>
      </c>
      <c r="AX134" s="62">
        <v>3073186.2653506263</v>
      </c>
      <c r="AY134" s="62">
        <v>3067409.3043506262</v>
      </c>
      <c r="AZ134" s="62">
        <v>4610</v>
      </c>
      <c r="BA134" s="62">
        <v>2650750</v>
      </c>
      <c r="BB134" s="62">
        <v>0</v>
      </c>
      <c r="BC134" s="62">
        <v>0</v>
      </c>
      <c r="BD134" s="62">
        <v>3073186.2653506263</v>
      </c>
      <c r="BE134" s="44">
        <v>3073186.2653506263</v>
      </c>
      <c r="BF134" s="44">
        <v>0</v>
      </c>
      <c r="BG134" s="62">
        <v>2656526.9610000001</v>
      </c>
      <c r="BH134" s="62">
        <v>2512506.46</v>
      </c>
      <c r="BI134" s="44">
        <v>2929165.7643506262</v>
      </c>
      <c r="BJ134" s="44">
        <v>5094.201329305437</v>
      </c>
      <c r="BK134" s="44">
        <v>4966.8729614436616</v>
      </c>
      <c r="BL134" s="45">
        <v>2.5635519339871821E-2</v>
      </c>
      <c r="BM134" s="45">
        <v>0</v>
      </c>
      <c r="BN134" s="44">
        <v>0</v>
      </c>
      <c r="BO134" s="62">
        <v>3073186.2653506263</v>
      </c>
      <c r="BP134" s="62">
        <v>5334.624877131524</v>
      </c>
      <c r="BQ134" s="62" t="s">
        <v>92</v>
      </c>
      <c r="BR134" s="62">
        <v>5344.6717658271764</v>
      </c>
      <c r="BS134" s="53">
        <v>1.9522409084407055E-2</v>
      </c>
      <c r="BT134" s="44">
        <v>-14415.25</v>
      </c>
      <c r="BU134" s="44">
        <v>3058771.0153506263</v>
      </c>
      <c r="BV134" s="44">
        <v>0</v>
      </c>
      <c r="BW134" s="44">
        <v>3058771.0153506263</v>
      </c>
      <c r="BX134" s="44">
        <v>5776.9610000000002</v>
      </c>
      <c r="BY134" s="44">
        <v>3052994.0543506262</v>
      </c>
    </row>
    <row r="135" spans="1:77">
      <c r="A135">
        <v>3375</v>
      </c>
      <c r="B135" s="60">
        <v>103462</v>
      </c>
      <c r="C135" s="60">
        <v>3303375</v>
      </c>
      <c r="D135" s="61" t="s">
        <v>784</v>
      </c>
      <c r="E135" s="52">
        <v>416</v>
      </c>
      <c r="F135" s="52">
        <v>416</v>
      </c>
      <c r="G135" s="52">
        <v>0</v>
      </c>
      <c r="H135" s="44">
        <v>1486993.0815999999</v>
      </c>
      <c r="I135" s="44">
        <v>0</v>
      </c>
      <c r="J135" s="44">
        <v>0</v>
      </c>
      <c r="K135" s="44">
        <v>56547.788500000061</v>
      </c>
      <c r="L135" s="44">
        <v>0</v>
      </c>
      <c r="M135" s="44">
        <v>95453.871200000052</v>
      </c>
      <c r="N135" s="44">
        <v>0</v>
      </c>
      <c r="O135" s="44">
        <v>24821.270515662647</v>
      </c>
      <c r="P135" s="44">
        <v>51604.102322891544</v>
      </c>
      <c r="Q135" s="44">
        <v>11190.948819277111</v>
      </c>
      <c r="R135" s="44">
        <v>1951.5003065060241</v>
      </c>
      <c r="S135" s="44">
        <v>6216.6350342168653</v>
      </c>
      <c r="T135" s="44">
        <v>0</v>
      </c>
      <c r="U135" s="44">
        <v>0</v>
      </c>
      <c r="V135" s="44">
        <v>0</v>
      </c>
      <c r="W135" s="44">
        <v>0</v>
      </c>
      <c r="X135" s="44">
        <v>0</v>
      </c>
      <c r="Y135" s="44">
        <v>0</v>
      </c>
      <c r="Z135" s="44">
        <v>0</v>
      </c>
      <c r="AA135" s="44">
        <v>68019.308046511534</v>
      </c>
      <c r="AB135" s="44">
        <v>0</v>
      </c>
      <c r="AC135" s="44">
        <v>168020.31406204955</v>
      </c>
      <c r="AD135" s="44">
        <v>0</v>
      </c>
      <c r="AE135" s="44">
        <v>0</v>
      </c>
      <c r="AF135" s="44">
        <v>0</v>
      </c>
      <c r="AG135" s="44">
        <v>138243.54</v>
      </c>
      <c r="AH135" s="44">
        <v>0</v>
      </c>
      <c r="AI135" s="44">
        <v>0</v>
      </c>
      <c r="AJ135" s="44">
        <v>0</v>
      </c>
      <c r="AK135" s="44">
        <v>3789.473</v>
      </c>
      <c r="AL135" s="44">
        <v>0</v>
      </c>
      <c r="AM135" s="44">
        <v>0</v>
      </c>
      <c r="AN135" s="44">
        <v>0</v>
      </c>
      <c r="AO135" s="44">
        <v>0</v>
      </c>
      <c r="AP135" s="44">
        <v>0</v>
      </c>
      <c r="AQ135" s="44">
        <v>0</v>
      </c>
      <c r="AR135" s="44">
        <v>0</v>
      </c>
      <c r="AS135" s="44">
        <v>0</v>
      </c>
      <c r="AT135" s="44">
        <v>1486993.0815999999</v>
      </c>
      <c r="AU135" s="44">
        <v>483825.73880711535</v>
      </c>
      <c r="AV135" s="44">
        <v>142033.01300000001</v>
      </c>
      <c r="AW135" s="44">
        <v>366263.02649132663</v>
      </c>
      <c r="AX135" s="62">
        <v>2112851.8334071152</v>
      </c>
      <c r="AY135" s="62">
        <v>2109062.360407115</v>
      </c>
      <c r="AZ135" s="62">
        <v>4610</v>
      </c>
      <c r="BA135" s="62">
        <v>1917760</v>
      </c>
      <c r="BB135" s="62">
        <v>0</v>
      </c>
      <c r="BC135" s="62">
        <v>0</v>
      </c>
      <c r="BD135" s="62">
        <v>2112851.8334071152</v>
      </c>
      <c r="BE135" s="44">
        <v>2112851.8334071152</v>
      </c>
      <c r="BF135" s="44">
        <v>0</v>
      </c>
      <c r="BG135" s="62">
        <v>1921549.473</v>
      </c>
      <c r="BH135" s="62">
        <v>1779516.46</v>
      </c>
      <c r="BI135" s="44">
        <v>1970818.8204071152</v>
      </c>
      <c r="BJ135" s="44">
        <v>4737.5452413632574</v>
      </c>
      <c r="BK135" s="44">
        <v>4712.261987864078</v>
      </c>
      <c r="BL135" s="45">
        <v>5.3654176198805791E-3</v>
      </c>
      <c r="BM135" s="45">
        <v>0</v>
      </c>
      <c r="BN135" s="44">
        <v>0</v>
      </c>
      <c r="BO135" s="62">
        <v>2112851.8334071152</v>
      </c>
      <c r="BP135" s="62">
        <v>5069.8614432863342</v>
      </c>
      <c r="BQ135" s="62" t="s">
        <v>92</v>
      </c>
      <c r="BR135" s="62">
        <v>5078.9707533824885</v>
      </c>
      <c r="BS135" s="53">
        <v>3.4679695491970364E-3</v>
      </c>
      <c r="BT135" s="44">
        <v>-10429.120000000001</v>
      </c>
      <c r="BU135" s="44">
        <v>2102422.7134071151</v>
      </c>
      <c r="BV135" s="44">
        <v>0</v>
      </c>
      <c r="BW135" s="44">
        <v>2102422.7134071151</v>
      </c>
      <c r="BX135" s="44">
        <v>3789.473</v>
      </c>
      <c r="BY135" s="44">
        <v>2098633.2404071148</v>
      </c>
    </row>
    <row r="136" spans="1:77">
      <c r="A136">
        <v>3377</v>
      </c>
      <c r="B136" s="60">
        <v>103463</v>
      </c>
      <c r="C136" s="60">
        <v>3303377</v>
      </c>
      <c r="D136" s="61" t="s">
        <v>360</v>
      </c>
      <c r="E136" s="52">
        <v>189</v>
      </c>
      <c r="F136" s="52">
        <v>189</v>
      </c>
      <c r="G136" s="52">
        <v>0</v>
      </c>
      <c r="H136" s="44">
        <v>675580.99139999994</v>
      </c>
      <c r="I136" s="44">
        <v>0</v>
      </c>
      <c r="J136" s="44">
        <v>0</v>
      </c>
      <c r="K136" s="44">
        <v>63923.587000000014</v>
      </c>
      <c r="L136" s="44">
        <v>0</v>
      </c>
      <c r="M136" s="44">
        <v>106974.16600000003</v>
      </c>
      <c r="N136" s="44">
        <v>0</v>
      </c>
      <c r="O136" s="44">
        <v>4009.0215999999987</v>
      </c>
      <c r="P136" s="44">
        <v>3146.0032999999999</v>
      </c>
      <c r="Q136" s="44">
        <v>6251.8666000000021</v>
      </c>
      <c r="R136" s="44">
        <v>20928.198900000043</v>
      </c>
      <c r="S136" s="44">
        <v>10852.959599999989</v>
      </c>
      <c r="T136" s="44">
        <v>47767.07599999995</v>
      </c>
      <c r="U136" s="44">
        <v>0</v>
      </c>
      <c r="V136" s="44">
        <v>0</v>
      </c>
      <c r="W136" s="44">
        <v>0</v>
      </c>
      <c r="X136" s="44">
        <v>0</v>
      </c>
      <c r="Y136" s="44">
        <v>0</v>
      </c>
      <c r="Z136" s="44">
        <v>0</v>
      </c>
      <c r="AA136" s="44">
        <v>15598.376983636321</v>
      </c>
      <c r="AB136" s="44">
        <v>0</v>
      </c>
      <c r="AC136" s="44">
        <v>62483.988045272738</v>
      </c>
      <c r="AD136" s="44">
        <v>0</v>
      </c>
      <c r="AE136" s="44">
        <v>5452.6719359999915</v>
      </c>
      <c r="AF136" s="44">
        <v>0</v>
      </c>
      <c r="AG136" s="44">
        <v>138243.54</v>
      </c>
      <c r="AH136" s="44">
        <v>0</v>
      </c>
      <c r="AI136" s="44">
        <v>0</v>
      </c>
      <c r="AJ136" s="44">
        <v>0</v>
      </c>
      <c r="AK136" s="44">
        <v>4080.9733000000001</v>
      </c>
      <c r="AL136" s="44">
        <v>0</v>
      </c>
      <c r="AM136" s="44">
        <v>0</v>
      </c>
      <c r="AN136" s="44">
        <v>0</v>
      </c>
      <c r="AO136" s="44">
        <v>0</v>
      </c>
      <c r="AP136" s="44">
        <v>0</v>
      </c>
      <c r="AQ136" s="44">
        <v>0</v>
      </c>
      <c r="AR136" s="44">
        <v>0</v>
      </c>
      <c r="AS136" s="44">
        <v>0</v>
      </c>
      <c r="AT136" s="44">
        <v>675580.99139999994</v>
      </c>
      <c r="AU136" s="44">
        <v>347387.91596490913</v>
      </c>
      <c r="AV136" s="44">
        <v>142324.51330000002</v>
      </c>
      <c r="AW136" s="44">
        <v>228189.47711527275</v>
      </c>
      <c r="AX136" s="62">
        <v>1165293.4206649091</v>
      </c>
      <c r="AY136" s="62">
        <v>1161212.4473649091</v>
      </c>
      <c r="AZ136" s="62">
        <v>4610</v>
      </c>
      <c r="BA136" s="62">
        <v>871290</v>
      </c>
      <c r="BB136" s="62">
        <v>0</v>
      </c>
      <c r="BC136" s="62">
        <v>0</v>
      </c>
      <c r="BD136" s="62">
        <v>1165293.4206649091</v>
      </c>
      <c r="BE136" s="44">
        <v>1165293.4206649091</v>
      </c>
      <c r="BF136" s="44">
        <v>0</v>
      </c>
      <c r="BG136" s="62">
        <v>875370.97329999995</v>
      </c>
      <c r="BH136" s="62">
        <v>733046.46</v>
      </c>
      <c r="BI136" s="44">
        <v>1022968.9073649091</v>
      </c>
      <c r="BJ136" s="44">
        <v>5412.5339014016354</v>
      </c>
      <c r="BK136" s="44">
        <v>5404.0239604278067</v>
      </c>
      <c r="BL136" s="45">
        <v>1.5747415326328325E-3</v>
      </c>
      <c r="BM136" s="45">
        <v>3.4252584673671676E-3</v>
      </c>
      <c r="BN136" s="44">
        <v>3498.4237985506657</v>
      </c>
      <c r="BO136" s="62">
        <v>1168791.8444634597</v>
      </c>
      <c r="BP136" s="62">
        <v>6162.4913818172472</v>
      </c>
      <c r="BQ136" s="62" t="s">
        <v>92</v>
      </c>
      <c r="BR136" s="62">
        <v>6184.0838331399982</v>
      </c>
      <c r="BS136" s="53">
        <v>3.4261530913777261E-3</v>
      </c>
      <c r="BT136" s="44">
        <v>-4738.2300000000005</v>
      </c>
      <c r="BU136" s="44">
        <v>1164053.6144634597</v>
      </c>
      <c r="BV136" s="44">
        <v>0</v>
      </c>
      <c r="BW136" s="44">
        <v>1164053.6144634597</v>
      </c>
      <c r="BX136" s="44">
        <v>4080.9733000000001</v>
      </c>
      <c r="BY136" s="44">
        <v>1159972.6411634597</v>
      </c>
    </row>
    <row r="137" spans="1:77">
      <c r="A137">
        <v>3380</v>
      </c>
      <c r="B137" s="60">
        <v>103465</v>
      </c>
      <c r="C137" s="60">
        <v>3303380</v>
      </c>
      <c r="D137" s="61" t="s">
        <v>512</v>
      </c>
      <c r="E137" s="52">
        <v>207</v>
      </c>
      <c r="F137" s="52">
        <v>207</v>
      </c>
      <c r="G137" s="52">
        <v>0</v>
      </c>
      <c r="H137" s="44">
        <v>739922.03819999995</v>
      </c>
      <c r="I137" s="44">
        <v>0</v>
      </c>
      <c r="J137" s="44">
        <v>0</v>
      </c>
      <c r="K137" s="44">
        <v>20160.515900000046</v>
      </c>
      <c r="L137" s="44">
        <v>0</v>
      </c>
      <c r="M137" s="44">
        <v>33738.006200000076</v>
      </c>
      <c r="N137" s="44">
        <v>0</v>
      </c>
      <c r="O137" s="44">
        <v>4716.4960000000001</v>
      </c>
      <c r="P137" s="44">
        <v>1430.0015000000014</v>
      </c>
      <c r="Q137" s="44">
        <v>893.12379999999996</v>
      </c>
      <c r="R137" s="44">
        <v>8760.6413999999968</v>
      </c>
      <c r="S137" s="44">
        <v>6201.6911999999975</v>
      </c>
      <c r="T137" s="44">
        <v>0</v>
      </c>
      <c r="U137" s="44">
        <v>0</v>
      </c>
      <c r="V137" s="44">
        <v>0</v>
      </c>
      <c r="W137" s="44">
        <v>0</v>
      </c>
      <c r="X137" s="44">
        <v>0</v>
      </c>
      <c r="Y137" s="44">
        <v>0</v>
      </c>
      <c r="Z137" s="44">
        <v>0</v>
      </c>
      <c r="AA137" s="44">
        <v>6924.2189999999955</v>
      </c>
      <c r="AB137" s="44">
        <v>0</v>
      </c>
      <c r="AC137" s="44">
        <v>80163.297548510775</v>
      </c>
      <c r="AD137" s="44">
        <v>0</v>
      </c>
      <c r="AE137" s="44">
        <v>0</v>
      </c>
      <c r="AF137" s="44">
        <v>0</v>
      </c>
      <c r="AG137" s="44">
        <v>138243.54</v>
      </c>
      <c r="AH137" s="44">
        <v>0</v>
      </c>
      <c r="AI137" s="44">
        <v>0</v>
      </c>
      <c r="AJ137" s="44">
        <v>0</v>
      </c>
      <c r="AK137" s="44">
        <v>3338.9819000000002</v>
      </c>
      <c r="AL137" s="44">
        <v>0</v>
      </c>
      <c r="AM137" s="44">
        <v>0</v>
      </c>
      <c r="AN137" s="44">
        <v>0</v>
      </c>
      <c r="AO137" s="44">
        <v>0</v>
      </c>
      <c r="AP137" s="44">
        <v>0</v>
      </c>
      <c r="AQ137" s="44">
        <v>0</v>
      </c>
      <c r="AR137" s="44">
        <v>0</v>
      </c>
      <c r="AS137" s="44">
        <v>0</v>
      </c>
      <c r="AT137" s="44">
        <v>739922.03819999995</v>
      </c>
      <c r="AU137" s="44">
        <v>162987.9925485109</v>
      </c>
      <c r="AV137" s="44">
        <v>141582.52190000002</v>
      </c>
      <c r="AW137" s="44">
        <v>155109.63745851084</v>
      </c>
      <c r="AX137" s="62">
        <v>1044492.5526485109</v>
      </c>
      <c r="AY137" s="62">
        <v>1041153.5707485109</v>
      </c>
      <c r="AZ137" s="62">
        <v>4610</v>
      </c>
      <c r="BA137" s="62">
        <v>954270</v>
      </c>
      <c r="BB137" s="62">
        <v>0</v>
      </c>
      <c r="BC137" s="62">
        <v>0</v>
      </c>
      <c r="BD137" s="62">
        <v>1044492.5526485109</v>
      </c>
      <c r="BE137" s="44">
        <v>1044492.5526485108</v>
      </c>
      <c r="BF137" s="44">
        <v>0</v>
      </c>
      <c r="BG137" s="62">
        <v>957608.98190000001</v>
      </c>
      <c r="BH137" s="62">
        <v>816026.46</v>
      </c>
      <c r="BI137" s="44">
        <v>902910.03074851085</v>
      </c>
      <c r="BJ137" s="44">
        <v>4361.8842065145454</v>
      </c>
      <c r="BK137" s="44">
        <v>4206.0284529411756</v>
      </c>
      <c r="BL137" s="45">
        <v>3.7055325544548712E-2</v>
      </c>
      <c r="BM137" s="45">
        <v>0</v>
      </c>
      <c r="BN137" s="44">
        <v>0</v>
      </c>
      <c r="BO137" s="62">
        <v>1044492.5526485109</v>
      </c>
      <c r="BP137" s="62">
        <v>5029.7273949203427</v>
      </c>
      <c r="BQ137" s="62" t="s">
        <v>92</v>
      </c>
      <c r="BR137" s="62">
        <v>5045.857742263338</v>
      </c>
      <c r="BS137" s="53">
        <v>2.9112670315399436E-2</v>
      </c>
      <c r="BT137" s="44">
        <v>-5189.49</v>
      </c>
      <c r="BU137" s="44">
        <v>1039303.0626485109</v>
      </c>
      <c r="BV137" s="44">
        <v>0</v>
      </c>
      <c r="BW137" s="44">
        <v>1039303.0626485109</v>
      </c>
      <c r="BX137" s="44">
        <v>3338.9819000000002</v>
      </c>
      <c r="BY137" s="44">
        <v>1035964.0807485109</v>
      </c>
    </row>
    <row r="138" spans="1:77">
      <c r="A138">
        <v>3381</v>
      </c>
      <c r="B138" s="60">
        <v>103466</v>
      </c>
      <c r="C138" s="60">
        <v>3303381</v>
      </c>
      <c r="D138" s="61" t="s">
        <v>775</v>
      </c>
      <c r="E138" s="52">
        <v>211</v>
      </c>
      <c r="F138" s="52">
        <v>211</v>
      </c>
      <c r="G138" s="52">
        <v>0</v>
      </c>
      <c r="H138" s="44">
        <v>754220.04859999998</v>
      </c>
      <c r="I138" s="44">
        <v>0</v>
      </c>
      <c r="J138" s="44">
        <v>0</v>
      </c>
      <c r="K138" s="44">
        <v>32945.233300000036</v>
      </c>
      <c r="L138" s="44">
        <v>0</v>
      </c>
      <c r="M138" s="44">
        <v>55955.717600000055</v>
      </c>
      <c r="N138" s="44">
        <v>0</v>
      </c>
      <c r="O138" s="44">
        <v>2594.0727999999981</v>
      </c>
      <c r="P138" s="44">
        <v>16302.017100000017</v>
      </c>
      <c r="Q138" s="44">
        <v>3125.9333000000024</v>
      </c>
      <c r="R138" s="44">
        <v>6327.1298999999963</v>
      </c>
      <c r="S138" s="44">
        <v>12403.382400000013</v>
      </c>
      <c r="T138" s="44">
        <v>6141.4812000000056</v>
      </c>
      <c r="U138" s="44">
        <v>0</v>
      </c>
      <c r="V138" s="44">
        <v>0</v>
      </c>
      <c r="W138" s="44">
        <v>0</v>
      </c>
      <c r="X138" s="44">
        <v>0</v>
      </c>
      <c r="Y138" s="44">
        <v>0</v>
      </c>
      <c r="Z138" s="44">
        <v>0</v>
      </c>
      <c r="AA138" s="44">
        <v>11733.471371823211</v>
      </c>
      <c r="AB138" s="44">
        <v>0</v>
      </c>
      <c r="AC138" s="44">
        <v>67448.232592197572</v>
      </c>
      <c r="AD138" s="44">
        <v>0</v>
      </c>
      <c r="AE138" s="44">
        <v>0</v>
      </c>
      <c r="AF138" s="44">
        <v>0</v>
      </c>
      <c r="AG138" s="44">
        <v>138243.54</v>
      </c>
      <c r="AH138" s="44">
        <v>0</v>
      </c>
      <c r="AI138" s="44">
        <v>0</v>
      </c>
      <c r="AJ138" s="44">
        <v>0</v>
      </c>
      <c r="AK138" s="44">
        <v>3974.9760000000001</v>
      </c>
      <c r="AL138" s="44">
        <v>0</v>
      </c>
      <c r="AM138" s="44">
        <v>0</v>
      </c>
      <c r="AN138" s="44">
        <v>0</v>
      </c>
      <c r="AO138" s="44">
        <v>0</v>
      </c>
      <c r="AP138" s="44">
        <v>0</v>
      </c>
      <c r="AQ138" s="44">
        <v>0</v>
      </c>
      <c r="AR138" s="44">
        <v>0</v>
      </c>
      <c r="AS138" s="44">
        <v>0</v>
      </c>
      <c r="AT138" s="44">
        <v>754220.04859999998</v>
      </c>
      <c r="AU138" s="44">
        <v>214976.67156402091</v>
      </c>
      <c r="AV138" s="44">
        <v>142218.516</v>
      </c>
      <c r="AW138" s="44">
        <v>173056.71882219764</v>
      </c>
      <c r="AX138" s="62">
        <v>1111415.2361640208</v>
      </c>
      <c r="AY138" s="62">
        <v>1107440.2601640208</v>
      </c>
      <c r="AZ138" s="62">
        <v>4610</v>
      </c>
      <c r="BA138" s="62">
        <v>972710</v>
      </c>
      <c r="BB138" s="62">
        <v>0</v>
      </c>
      <c r="BC138" s="62">
        <v>0</v>
      </c>
      <c r="BD138" s="62">
        <v>1111415.2361640208</v>
      </c>
      <c r="BE138" s="44">
        <v>1111415.2361640211</v>
      </c>
      <c r="BF138" s="44">
        <v>0</v>
      </c>
      <c r="BG138" s="62">
        <v>976684.97600000002</v>
      </c>
      <c r="BH138" s="62">
        <v>834466.46</v>
      </c>
      <c r="BI138" s="44">
        <v>969196.72016402078</v>
      </c>
      <c r="BJ138" s="44">
        <v>4593.3493846636056</v>
      </c>
      <c r="BK138" s="44">
        <v>4417.7044257009338</v>
      </c>
      <c r="BL138" s="45">
        <v>3.9759327930773268E-2</v>
      </c>
      <c r="BM138" s="45">
        <v>0</v>
      </c>
      <c r="BN138" s="44">
        <v>0</v>
      </c>
      <c r="BO138" s="62">
        <v>1111415.2361640208</v>
      </c>
      <c r="BP138" s="62">
        <v>5248.5320386920421</v>
      </c>
      <c r="BQ138" s="62" t="s">
        <v>92</v>
      </c>
      <c r="BR138" s="62">
        <v>5267.3707875072078</v>
      </c>
      <c r="BS138" s="53">
        <v>3.7118682378834311E-2</v>
      </c>
      <c r="BT138" s="44">
        <v>-5289.77</v>
      </c>
      <c r="BU138" s="44">
        <v>1106125.4661640208</v>
      </c>
      <c r="BV138" s="44">
        <v>0</v>
      </c>
      <c r="BW138" s="44">
        <v>1106125.4661640208</v>
      </c>
      <c r="BX138" s="44">
        <v>3974.9760000000001</v>
      </c>
      <c r="BY138" s="44">
        <v>1102150.4901640208</v>
      </c>
    </row>
    <row r="139" spans="1:77">
      <c r="A139">
        <v>3382</v>
      </c>
      <c r="B139" s="60">
        <v>103467</v>
      </c>
      <c r="C139" s="60">
        <v>3303382</v>
      </c>
      <c r="D139" s="61" t="s">
        <v>808</v>
      </c>
      <c r="E139" s="52">
        <v>202</v>
      </c>
      <c r="F139" s="52">
        <v>202</v>
      </c>
      <c r="G139" s="52">
        <v>0</v>
      </c>
      <c r="H139" s="44">
        <v>722049.52519999992</v>
      </c>
      <c r="I139" s="44">
        <v>0</v>
      </c>
      <c r="J139" s="44">
        <v>0</v>
      </c>
      <c r="K139" s="44">
        <v>27044.594499999974</v>
      </c>
      <c r="L139" s="44">
        <v>0</v>
      </c>
      <c r="M139" s="44">
        <v>46904.057399999961</v>
      </c>
      <c r="N139" s="44">
        <v>0</v>
      </c>
      <c r="O139" s="44">
        <v>9953.9184238805974</v>
      </c>
      <c r="P139" s="44">
        <v>9772.3883601989837</v>
      </c>
      <c r="Q139" s="44">
        <v>5834.1868129353243</v>
      </c>
      <c r="R139" s="44">
        <v>17608.453361193999</v>
      </c>
      <c r="S139" s="44">
        <v>7790.6817313432839</v>
      </c>
      <c r="T139" s="44">
        <v>4800.4723144278651</v>
      </c>
      <c r="U139" s="44">
        <v>0</v>
      </c>
      <c r="V139" s="44">
        <v>0</v>
      </c>
      <c r="W139" s="44">
        <v>0</v>
      </c>
      <c r="X139" s="44">
        <v>0</v>
      </c>
      <c r="Y139" s="44">
        <v>0</v>
      </c>
      <c r="Z139" s="44">
        <v>0</v>
      </c>
      <c r="AA139" s="44">
        <v>13906.78160465118</v>
      </c>
      <c r="AB139" s="44">
        <v>0</v>
      </c>
      <c r="AC139" s="44">
        <v>103296.33370746026</v>
      </c>
      <c r="AD139" s="44">
        <v>0</v>
      </c>
      <c r="AE139" s="44">
        <v>0</v>
      </c>
      <c r="AF139" s="44">
        <v>0</v>
      </c>
      <c r="AG139" s="44">
        <v>138243.54</v>
      </c>
      <c r="AH139" s="44">
        <v>0</v>
      </c>
      <c r="AI139" s="44">
        <v>0</v>
      </c>
      <c r="AJ139" s="44">
        <v>0</v>
      </c>
      <c r="AK139" s="44">
        <v>4557.9766</v>
      </c>
      <c r="AL139" s="44">
        <v>0</v>
      </c>
      <c r="AM139" s="44">
        <v>0</v>
      </c>
      <c r="AN139" s="44">
        <v>0</v>
      </c>
      <c r="AO139" s="44">
        <v>0</v>
      </c>
      <c r="AP139" s="44">
        <v>0</v>
      </c>
      <c r="AQ139" s="44">
        <v>0</v>
      </c>
      <c r="AR139" s="44">
        <v>0</v>
      </c>
      <c r="AS139" s="44">
        <v>0</v>
      </c>
      <c r="AT139" s="44">
        <v>722049.52519999992</v>
      </c>
      <c r="AU139" s="44">
        <v>246911.86821609142</v>
      </c>
      <c r="AV139" s="44">
        <v>142801.5166</v>
      </c>
      <c r="AW139" s="44">
        <v>204253.18641945027</v>
      </c>
      <c r="AX139" s="62">
        <v>1111762.9100160913</v>
      </c>
      <c r="AY139" s="62">
        <v>1107204.9334160914</v>
      </c>
      <c r="AZ139" s="62">
        <v>4610</v>
      </c>
      <c r="BA139" s="62">
        <v>931220</v>
      </c>
      <c r="BB139" s="62">
        <v>0</v>
      </c>
      <c r="BC139" s="62">
        <v>0</v>
      </c>
      <c r="BD139" s="62">
        <v>1111762.9100160913</v>
      </c>
      <c r="BE139" s="44">
        <v>1111762.9100160911</v>
      </c>
      <c r="BF139" s="44">
        <v>0</v>
      </c>
      <c r="BG139" s="62">
        <v>935777.97660000005</v>
      </c>
      <c r="BH139" s="62">
        <v>792976.46</v>
      </c>
      <c r="BI139" s="44">
        <v>968961.39341609122</v>
      </c>
      <c r="BJ139" s="44">
        <v>4796.838581267778</v>
      </c>
      <c r="BK139" s="44">
        <v>4686.821119024391</v>
      </c>
      <c r="BL139" s="45">
        <v>2.347379160617254E-2</v>
      </c>
      <c r="BM139" s="45">
        <v>0</v>
      </c>
      <c r="BN139" s="44">
        <v>0</v>
      </c>
      <c r="BO139" s="62">
        <v>1111762.9100160913</v>
      </c>
      <c r="BP139" s="62">
        <v>5481.2125416638182</v>
      </c>
      <c r="BQ139" s="62" t="s">
        <v>92</v>
      </c>
      <c r="BR139" s="62">
        <v>5503.776782257878</v>
      </c>
      <c r="BS139" s="53">
        <v>2.3005844918319251E-2</v>
      </c>
      <c r="BT139" s="44">
        <v>-5064.1400000000003</v>
      </c>
      <c r="BU139" s="44">
        <v>1106698.7700160914</v>
      </c>
      <c r="BV139" s="44">
        <v>0</v>
      </c>
      <c r="BW139" s="44">
        <v>1106698.7700160914</v>
      </c>
      <c r="BX139" s="44">
        <v>4557.9766</v>
      </c>
      <c r="BY139" s="44">
        <v>1102140.7934160915</v>
      </c>
    </row>
    <row r="140" spans="1:77">
      <c r="A140">
        <v>3385</v>
      </c>
      <c r="B140" s="60">
        <v>103469</v>
      </c>
      <c r="C140" s="60">
        <v>3303385</v>
      </c>
      <c r="D140" s="61" t="s">
        <v>533</v>
      </c>
      <c r="E140" s="52">
        <v>210</v>
      </c>
      <c r="F140" s="52">
        <v>210</v>
      </c>
      <c r="G140" s="52">
        <v>0</v>
      </c>
      <c r="H140" s="44">
        <v>750645.54599999997</v>
      </c>
      <c r="I140" s="44">
        <v>0</v>
      </c>
      <c r="J140" s="44">
        <v>0</v>
      </c>
      <c r="K140" s="44">
        <v>42779.631299999965</v>
      </c>
      <c r="L140" s="44">
        <v>0</v>
      </c>
      <c r="M140" s="44">
        <v>71590.403399999937</v>
      </c>
      <c r="N140" s="44">
        <v>0</v>
      </c>
      <c r="O140" s="44">
        <v>7310.56880000002</v>
      </c>
      <c r="P140" s="44">
        <v>286.00029999999987</v>
      </c>
      <c r="Q140" s="44">
        <v>4019.0571000000036</v>
      </c>
      <c r="R140" s="44">
        <v>7300.5344999999961</v>
      </c>
      <c r="S140" s="44">
        <v>50647.144800000038</v>
      </c>
      <c r="T140" s="44">
        <v>17059.669999999991</v>
      </c>
      <c r="U140" s="44">
        <v>0</v>
      </c>
      <c r="V140" s="44">
        <v>0</v>
      </c>
      <c r="W140" s="44">
        <v>0</v>
      </c>
      <c r="X140" s="44">
        <v>0</v>
      </c>
      <c r="Y140" s="44">
        <v>0</v>
      </c>
      <c r="Z140" s="44">
        <v>0</v>
      </c>
      <c r="AA140" s="44">
        <v>22103.980266666695</v>
      </c>
      <c r="AB140" s="44">
        <v>0</v>
      </c>
      <c r="AC140" s="44">
        <v>65142.908667613679</v>
      </c>
      <c r="AD140" s="44">
        <v>0</v>
      </c>
      <c r="AE140" s="44">
        <v>0</v>
      </c>
      <c r="AF140" s="44">
        <v>0</v>
      </c>
      <c r="AG140" s="44">
        <v>138243.54</v>
      </c>
      <c r="AH140" s="44">
        <v>0</v>
      </c>
      <c r="AI140" s="44">
        <v>0</v>
      </c>
      <c r="AJ140" s="44">
        <v>0</v>
      </c>
      <c r="AK140" s="44">
        <v>8409.1980999999996</v>
      </c>
      <c r="AL140" s="44">
        <v>0</v>
      </c>
      <c r="AM140" s="44">
        <v>0</v>
      </c>
      <c r="AN140" s="44">
        <v>0</v>
      </c>
      <c r="AO140" s="44">
        <v>0</v>
      </c>
      <c r="AP140" s="44">
        <v>0</v>
      </c>
      <c r="AQ140" s="44">
        <v>0</v>
      </c>
      <c r="AR140" s="44">
        <v>0</v>
      </c>
      <c r="AS140" s="44">
        <v>0</v>
      </c>
      <c r="AT140" s="44">
        <v>750645.54599999997</v>
      </c>
      <c r="AU140" s="44">
        <v>288239.89913428033</v>
      </c>
      <c r="AV140" s="44">
        <v>146652.73810000002</v>
      </c>
      <c r="AW140" s="44">
        <v>203171.69106761366</v>
      </c>
      <c r="AX140" s="62">
        <v>1185538.1832342802</v>
      </c>
      <c r="AY140" s="62">
        <v>1177128.9851342803</v>
      </c>
      <c r="AZ140" s="62">
        <v>4610</v>
      </c>
      <c r="BA140" s="62">
        <v>968100</v>
      </c>
      <c r="BB140" s="62">
        <v>0</v>
      </c>
      <c r="BC140" s="62">
        <v>0</v>
      </c>
      <c r="BD140" s="62">
        <v>1185538.1832342802</v>
      </c>
      <c r="BE140" s="44">
        <v>1185538.1832342802</v>
      </c>
      <c r="BF140" s="44">
        <v>0</v>
      </c>
      <c r="BG140" s="62">
        <v>976509.19810000004</v>
      </c>
      <c r="BH140" s="62">
        <v>829856.46</v>
      </c>
      <c r="BI140" s="44">
        <v>1038885.4451342801</v>
      </c>
      <c r="BJ140" s="44">
        <v>4947.0735482584769</v>
      </c>
      <c r="BK140" s="44">
        <v>4843.7845514423088</v>
      </c>
      <c r="BL140" s="45">
        <v>2.1324027879277209E-2</v>
      </c>
      <c r="BM140" s="45">
        <v>0</v>
      </c>
      <c r="BN140" s="44">
        <v>0</v>
      </c>
      <c r="BO140" s="62">
        <v>1185538.1832342802</v>
      </c>
      <c r="BP140" s="62">
        <v>5605.3761196870491</v>
      </c>
      <c r="BQ140" s="62" t="s">
        <v>92</v>
      </c>
      <c r="BR140" s="62">
        <v>5645.4199201632391</v>
      </c>
      <c r="BS140" s="53">
        <v>2.0928447306707509E-2</v>
      </c>
      <c r="BT140" s="44">
        <v>-5264.7</v>
      </c>
      <c r="BU140" s="44">
        <v>1180273.4832342803</v>
      </c>
      <c r="BV140" s="44">
        <v>0</v>
      </c>
      <c r="BW140" s="44">
        <v>1180273.4832342803</v>
      </c>
      <c r="BX140" s="44">
        <v>8409.1980999999996</v>
      </c>
      <c r="BY140" s="44">
        <v>1171864.2851342803</v>
      </c>
    </row>
    <row r="141" spans="1:77">
      <c r="A141">
        <v>3386</v>
      </c>
      <c r="B141" s="60">
        <v>103470</v>
      </c>
      <c r="C141" s="60">
        <v>3303386</v>
      </c>
      <c r="D141" s="61" t="s">
        <v>872</v>
      </c>
      <c r="E141" s="52">
        <v>216</v>
      </c>
      <c r="F141" s="52">
        <v>216</v>
      </c>
      <c r="G141" s="52">
        <v>0</v>
      </c>
      <c r="H141" s="44">
        <v>772092.5615999999</v>
      </c>
      <c r="I141" s="44">
        <v>0</v>
      </c>
      <c r="J141" s="44">
        <v>0</v>
      </c>
      <c r="K141" s="44">
        <v>50647.149700000024</v>
      </c>
      <c r="L141" s="44">
        <v>0</v>
      </c>
      <c r="M141" s="44">
        <v>86402.210999999981</v>
      </c>
      <c r="N141" s="44">
        <v>0</v>
      </c>
      <c r="O141" s="44">
        <v>2594.072799999999</v>
      </c>
      <c r="P141" s="44">
        <v>3432.0036000000027</v>
      </c>
      <c r="Q141" s="44">
        <v>11164.047500000024</v>
      </c>
      <c r="R141" s="44">
        <v>51590.443800000023</v>
      </c>
      <c r="S141" s="44">
        <v>13953.805199999999</v>
      </c>
      <c r="T141" s="44">
        <v>8188.6416000000072</v>
      </c>
      <c r="U141" s="44">
        <v>0</v>
      </c>
      <c r="V141" s="44">
        <v>0</v>
      </c>
      <c r="W141" s="44">
        <v>0</v>
      </c>
      <c r="X141" s="44">
        <v>0</v>
      </c>
      <c r="Y141" s="44">
        <v>0</v>
      </c>
      <c r="Z141" s="44">
        <v>0</v>
      </c>
      <c r="AA141" s="44">
        <v>34486.466804494434</v>
      </c>
      <c r="AB141" s="44">
        <v>0</v>
      </c>
      <c r="AC141" s="44">
        <v>120984.52710598559</v>
      </c>
      <c r="AD141" s="44">
        <v>0</v>
      </c>
      <c r="AE141" s="44">
        <v>0</v>
      </c>
      <c r="AF141" s="44">
        <v>0</v>
      </c>
      <c r="AG141" s="44">
        <v>138243.54</v>
      </c>
      <c r="AH141" s="44">
        <v>0</v>
      </c>
      <c r="AI141" s="44">
        <v>0</v>
      </c>
      <c r="AJ141" s="44">
        <v>0</v>
      </c>
      <c r="AK141" s="44">
        <v>5511.9625999999998</v>
      </c>
      <c r="AL141" s="44">
        <v>0</v>
      </c>
      <c r="AM141" s="44">
        <v>0</v>
      </c>
      <c r="AN141" s="44">
        <v>0</v>
      </c>
      <c r="AO141" s="44">
        <v>0</v>
      </c>
      <c r="AP141" s="44">
        <v>0</v>
      </c>
      <c r="AQ141" s="44">
        <v>0</v>
      </c>
      <c r="AR141" s="44">
        <v>0</v>
      </c>
      <c r="AS141" s="44">
        <v>0</v>
      </c>
      <c r="AT141" s="44">
        <v>772092.5615999999</v>
      </c>
      <c r="AU141" s="44">
        <v>383443.36911048007</v>
      </c>
      <c r="AV141" s="44">
        <v>143755.50260000001</v>
      </c>
      <c r="AW141" s="44">
        <v>273575.34278598562</v>
      </c>
      <c r="AX141" s="62">
        <v>1299291.4333104801</v>
      </c>
      <c r="AY141" s="62">
        <v>1293779.4707104801</v>
      </c>
      <c r="AZ141" s="62">
        <v>4610</v>
      </c>
      <c r="BA141" s="62">
        <v>995760</v>
      </c>
      <c r="BB141" s="62">
        <v>0</v>
      </c>
      <c r="BC141" s="62">
        <v>0</v>
      </c>
      <c r="BD141" s="62">
        <v>1299291.4333104801</v>
      </c>
      <c r="BE141" s="44">
        <v>1299291.4333104799</v>
      </c>
      <c r="BF141" s="44">
        <v>0</v>
      </c>
      <c r="BG141" s="62">
        <v>1001271.9626</v>
      </c>
      <c r="BH141" s="62">
        <v>857516.46</v>
      </c>
      <c r="BI141" s="44">
        <v>1155535.9307104801</v>
      </c>
      <c r="BJ141" s="44">
        <v>5349.7033829188895</v>
      </c>
      <c r="BK141" s="44">
        <v>5138.7168188073392</v>
      </c>
      <c r="BL141" s="45">
        <v>4.1058219697834755E-2</v>
      </c>
      <c r="BM141" s="45">
        <v>0</v>
      </c>
      <c r="BN141" s="44">
        <v>0</v>
      </c>
      <c r="BO141" s="62">
        <v>1299291.4333104801</v>
      </c>
      <c r="BP141" s="62">
        <v>5989.7197718077787</v>
      </c>
      <c r="BQ141" s="62" t="s">
        <v>92</v>
      </c>
      <c r="BR141" s="62">
        <v>6015.238117178149</v>
      </c>
      <c r="BS141" s="53">
        <v>3.5269333190225183E-2</v>
      </c>
      <c r="BT141" s="44">
        <v>-5415.12</v>
      </c>
      <c r="BU141" s="44">
        <v>1293876.31331048</v>
      </c>
      <c r="BV141" s="44">
        <v>0</v>
      </c>
      <c r="BW141" s="44">
        <v>1293876.31331048</v>
      </c>
      <c r="BX141" s="44">
        <v>5511.9625999999998</v>
      </c>
      <c r="BY141" s="44">
        <v>1288364.35071048</v>
      </c>
    </row>
    <row r="142" spans="1:77">
      <c r="A142">
        <v>3406</v>
      </c>
      <c r="B142" s="60">
        <v>103476</v>
      </c>
      <c r="C142" s="60">
        <v>3303406</v>
      </c>
      <c r="D142" s="61" t="s">
        <v>790</v>
      </c>
      <c r="E142" s="52">
        <v>240</v>
      </c>
      <c r="F142" s="52">
        <v>240</v>
      </c>
      <c r="G142" s="52">
        <v>0</v>
      </c>
      <c r="H142" s="44">
        <v>857880.62399999995</v>
      </c>
      <c r="I142" s="44">
        <v>0</v>
      </c>
      <c r="J142" s="44">
        <v>0</v>
      </c>
      <c r="K142" s="44">
        <v>73757.985000000001</v>
      </c>
      <c r="L142" s="44">
        <v>0</v>
      </c>
      <c r="M142" s="44">
        <v>131660.51200000005</v>
      </c>
      <c r="N142" s="44">
        <v>0</v>
      </c>
      <c r="O142" s="44">
        <v>5659.7952000000005</v>
      </c>
      <c r="P142" s="44">
        <v>2860.003000000002</v>
      </c>
      <c r="Q142" s="44">
        <v>28133.399699999998</v>
      </c>
      <c r="R142" s="44">
        <v>43316.504699999961</v>
      </c>
      <c r="S142" s="44">
        <v>18605.0736</v>
      </c>
      <c r="T142" s="44">
        <v>3411.9339999999947</v>
      </c>
      <c r="U142" s="44">
        <v>0</v>
      </c>
      <c r="V142" s="44">
        <v>0</v>
      </c>
      <c r="W142" s="44">
        <v>0</v>
      </c>
      <c r="X142" s="44">
        <v>0</v>
      </c>
      <c r="Y142" s="44">
        <v>0</v>
      </c>
      <c r="Z142" s="44">
        <v>0</v>
      </c>
      <c r="AA142" s="44">
        <v>40886.405547169845</v>
      </c>
      <c r="AB142" s="44">
        <v>0</v>
      </c>
      <c r="AC142" s="44">
        <v>117026.41689818178</v>
      </c>
      <c r="AD142" s="44">
        <v>0</v>
      </c>
      <c r="AE142" s="44">
        <v>15149.490814393248</v>
      </c>
      <c r="AF142" s="44">
        <v>0</v>
      </c>
      <c r="AG142" s="44">
        <v>138243.54</v>
      </c>
      <c r="AH142" s="44">
        <v>0</v>
      </c>
      <c r="AI142" s="44">
        <v>0</v>
      </c>
      <c r="AJ142" s="44">
        <v>0</v>
      </c>
      <c r="AK142" s="44">
        <v>3842.4767999999999</v>
      </c>
      <c r="AL142" s="44">
        <v>0</v>
      </c>
      <c r="AM142" s="44">
        <v>0</v>
      </c>
      <c r="AN142" s="44">
        <v>0</v>
      </c>
      <c r="AO142" s="44">
        <v>0</v>
      </c>
      <c r="AP142" s="44">
        <v>0</v>
      </c>
      <c r="AQ142" s="44">
        <v>0</v>
      </c>
      <c r="AR142" s="44">
        <v>0</v>
      </c>
      <c r="AS142" s="44">
        <v>0</v>
      </c>
      <c r="AT142" s="44">
        <v>857880.62399999995</v>
      </c>
      <c r="AU142" s="44">
        <v>480467.5204597449</v>
      </c>
      <c r="AV142" s="44">
        <v>142086.01680000001</v>
      </c>
      <c r="AW142" s="44">
        <v>313623.05169818178</v>
      </c>
      <c r="AX142" s="62">
        <v>1480434.161259745</v>
      </c>
      <c r="AY142" s="62">
        <v>1476591.684459745</v>
      </c>
      <c r="AZ142" s="62">
        <v>4610</v>
      </c>
      <c r="BA142" s="62">
        <v>1106400</v>
      </c>
      <c r="BB142" s="62">
        <v>0</v>
      </c>
      <c r="BC142" s="62">
        <v>0</v>
      </c>
      <c r="BD142" s="62">
        <v>1480434.161259745</v>
      </c>
      <c r="BE142" s="44">
        <v>1480434.1612597448</v>
      </c>
      <c r="BF142" s="44">
        <v>0</v>
      </c>
      <c r="BG142" s="62">
        <v>1110242.4768000001</v>
      </c>
      <c r="BH142" s="62">
        <v>968156.46000000008</v>
      </c>
      <c r="BI142" s="44">
        <v>1338348.1444597449</v>
      </c>
      <c r="BJ142" s="44">
        <v>5576.4506019156042</v>
      </c>
      <c r="BK142" s="44">
        <v>5345.7718818548383</v>
      </c>
      <c r="BL142" s="45">
        <v>4.3151620600153005E-2</v>
      </c>
      <c r="BM142" s="45">
        <v>0</v>
      </c>
      <c r="BN142" s="44">
        <v>0</v>
      </c>
      <c r="BO142" s="62">
        <v>1480434.161259745</v>
      </c>
      <c r="BP142" s="62">
        <v>6152.4653519156036</v>
      </c>
      <c r="BQ142" s="62" t="s">
        <v>92</v>
      </c>
      <c r="BR142" s="62">
        <v>6168.4756719156039</v>
      </c>
      <c r="BS142" s="53">
        <v>4.1130927657434091E-2</v>
      </c>
      <c r="BT142" s="44">
        <v>-6016.8</v>
      </c>
      <c r="BU142" s="44">
        <v>1474417.361259745</v>
      </c>
      <c r="BV142" s="44">
        <v>0</v>
      </c>
      <c r="BW142" s="44">
        <v>1474417.361259745</v>
      </c>
      <c r="BX142" s="44">
        <v>3842.4767999999999</v>
      </c>
      <c r="BY142" s="44">
        <v>1470574.8844597449</v>
      </c>
    </row>
    <row r="143" spans="1:77">
      <c r="A143">
        <v>3410</v>
      </c>
      <c r="B143" s="60">
        <v>103478</v>
      </c>
      <c r="C143" s="60">
        <v>3303410</v>
      </c>
      <c r="D143" s="61" t="s">
        <v>873</v>
      </c>
      <c r="E143" s="52">
        <v>205</v>
      </c>
      <c r="F143" s="52">
        <v>205</v>
      </c>
      <c r="G143" s="52">
        <v>0</v>
      </c>
      <c r="H143" s="44">
        <v>732773.03299999994</v>
      </c>
      <c r="I143" s="44">
        <v>0</v>
      </c>
      <c r="J143" s="44">
        <v>0</v>
      </c>
      <c r="K143" s="44">
        <v>21635.675599999959</v>
      </c>
      <c r="L143" s="44">
        <v>0</v>
      </c>
      <c r="M143" s="44">
        <v>41966.788199999988</v>
      </c>
      <c r="N143" s="44">
        <v>0</v>
      </c>
      <c r="O143" s="44">
        <v>1650.7735999999986</v>
      </c>
      <c r="P143" s="44">
        <v>16588.017400000019</v>
      </c>
      <c r="Q143" s="44">
        <v>5805.3047000000033</v>
      </c>
      <c r="R143" s="44">
        <v>10220.748300000008</v>
      </c>
      <c r="S143" s="44">
        <v>21705.919200000018</v>
      </c>
      <c r="T143" s="44">
        <v>3411.933999999997</v>
      </c>
      <c r="U143" s="44">
        <v>0</v>
      </c>
      <c r="V143" s="44">
        <v>0</v>
      </c>
      <c r="W143" s="44">
        <v>0</v>
      </c>
      <c r="X143" s="44">
        <v>0</v>
      </c>
      <c r="Y143" s="44">
        <v>0</v>
      </c>
      <c r="Z143" s="44">
        <v>0</v>
      </c>
      <c r="AA143" s="44">
        <v>43001.263651428533</v>
      </c>
      <c r="AB143" s="44">
        <v>0</v>
      </c>
      <c r="AC143" s="44">
        <v>80558.76611349688</v>
      </c>
      <c r="AD143" s="44">
        <v>0</v>
      </c>
      <c r="AE143" s="44">
        <v>674.35872000000882</v>
      </c>
      <c r="AF143" s="44">
        <v>0</v>
      </c>
      <c r="AG143" s="44">
        <v>138243.54</v>
      </c>
      <c r="AH143" s="44">
        <v>0</v>
      </c>
      <c r="AI143" s="44">
        <v>0</v>
      </c>
      <c r="AJ143" s="44">
        <v>0</v>
      </c>
      <c r="AK143" s="44">
        <v>3921.9722000000002</v>
      </c>
      <c r="AL143" s="44">
        <v>0</v>
      </c>
      <c r="AM143" s="44">
        <v>0</v>
      </c>
      <c r="AN143" s="44">
        <v>0</v>
      </c>
      <c r="AO143" s="44">
        <v>0</v>
      </c>
      <c r="AP143" s="44">
        <v>0</v>
      </c>
      <c r="AQ143" s="44">
        <v>0</v>
      </c>
      <c r="AR143" s="44">
        <v>0</v>
      </c>
      <c r="AS143" s="44">
        <v>0</v>
      </c>
      <c r="AT143" s="44">
        <v>732773.03299999994</v>
      </c>
      <c r="AU143" s="44">
        <v>247219.54948492543</v>
      </c>
      <c r="AV143" s="44">
        <v>142165.5122</v>
      </c>
      <c r="AW143" s="44">
        <v>178689.99826349688</v>
      </c>
      <c r="AX143" s="62">
        <v>1122158.0946849254</v>
      </c>
      <c r="AY143" s="62">
        <v>1118236.1224849254</v>
      </c>
      <c r="AZ143" s="62">
        <v>4610</v>
      </c>
      <c r="BA143" s="62">
        <v>945050</v>
      </c>
      <c r="BB143" s="62">
        <v>0</v>
      </c>
      <c r="BC143" s="62">
        <v>0</v>
      </c>
      <c r="BD143" s="62">
        <v>1122158.0946849254</v>
      </c>
      <c r="BE143" s="44">
        <v>1122158.0946849252</v>
      </c>
      <c r="BF143" s="44">
        <v>0</v>
      </c>
      <c r="BG143" s="62">
        <v>948971.97219999996</v>
      </c>
      <c r="BH143" s="62">
        <v>806806.46</v>
      </c>
      <c r="BI143" s="44">
        <v>979992.5824849254</v>
      </c>
      <c r="BJ143" s="44">
        <v>4780.4516218776853</v>
      </c>
      <c r="BK143" s="44">
        <v>4840.6606149758454</v>
      </c>
      <c r="BL143" s="45">
        <v>-1.2438176911615724E-2</v>
      </c>
      <c r="BM143" s="45">
        <v>1.7438176911615724E-2</v>
      </c>
      <c r="BN143" s="44">
        <v>17304.520715473067</v>
      </c>
      <c r="BO143" s="62">
        <v>1139462.6154003984</v>
      </c>
      <c r="BP143" s="62">
        <v>5539.2226497580414</v>
      </c>
      <c r="BQ143" s="62" t="s">
        <v>92</v>
      </c>
      <c r="BR143" s="62">
        <v>5558.354221465358</v>
      </c>
      <c r="BS143" s="53">
        <v>5.7592038947504864E-3</v>
      </c>
      <c r="BT143" s="44">
        <v>-5139.3500000000004</v>
      </c>
      <c r="BU143" s="44">
        <v>1134323.2654003983</v>
      </c>
      <c r="BV143" s="44">
        <v>0</v>
      </c>
      <c r="BW143" s="44">
        <v>1134323.2654003983</v>
      </c>
      <c r="BX143" s="44">
        <v>3921.9722000000002</v>
      </c>
      <c r="BY143" s="44">
        <v>1130401.2932003983</v>
      </c>
    </row>
    <row r="144" spans="1:77">
      <c r="A144">
        <v>3411</v>
      </c>
      <c r="B144" s="60">
        <v>103479</v>
      </c>
      <c r="C144" s="60">
        <v>3303411</v>
      </c>
      <c r="D144" s="61" t="s">
        <v>674</v>
      </c>
      <c r="E144" s="52">
        <v>153</v>
      </c>
      <c r="F144" s="52">
        <v>153</v>
      </c>
      <c r="G144" s="52">
        <v>0</v>
      </c>
      <c r="H144" s="44">
        <v>546898.89779999992</v>
      </c>
      <c r="I144" s="44">
        <v>0</v>
      </c>
      <c r="J144" s="44">
        <v>0</v>
      </c>
      <c r="K144" s="44">
        <v>54089.188999999991</v>
      </c>
      <c r="L144" s="44">
        <v>0</v>
      </c>
      <c r="M144" s="44">
        <v>90516.601999999984</v>
      </c>
      <c r="N144" s="44">
        <v>0</v>
      </c>
      <c r="O144" s="44">
        <v>2122.4231999999997</v>
      </c>
      <c r="P144" s="44">
        <v>286.00029999999992</v>
      </c>
      <c r="Q144" s="44">
        <v>0</v>
      </c>
      <c r="R144" s="44">
        <v>8273.9390999999905</v>
      </c>
      <c r="S144" s="44">
        <v>37210.147200000029</v>
      </c>
      <c r="T144" s="44">
        <v>34801.72679999996</v>
      </c>
      <c r="U144" s="44">
        <v>0</v>
      </c>
      <c r="V144" s="44">
        <v>0</v>
      </c>
      <c r="W144" s="44">
        <v>0</v>
      </c>
      <c r="X144" s="44">
        <v>0</v>
      </c>
      <c r="Y144" s="44">
        <v>0</v>
      </c>
      <c r="Z144" s="44">
        <v>0</v>
      </c>
      <c r="AA144" s="44">
        <v>15097.807950000031</v>
      </c>
      <c r="AB144" s="44">
        <v>0</v>
      </c>
      <c r="AC144" s="44">
        <v>98702.376428571457</v>
      </c>
      <c r="AD144" s="44">
        <v>0</v>
      </c>
      <c r="AE144" s="44">
        <v>0</v>
      </c>
      <c r="AF144" s="44">
        <v>0</v>
      </c>
      <c r="AG144" s="44">
        <v>138243.54</v>
      </c>
      <c r="AH144" s="44">
        <v>0</v>
      </c>
      <c r="AI144" s="44">
        <v>0</v>
      </c>
      <c r="AJ144" s="44">
        <v>0</v>
      </c>
      <c r="AK144" s="44">
        <v>33654.796799999996</v>
      </c>
      <c r="AL144" s="44">
        <v>0</v>
      </c>
      <c r="AM144" s="44">
        <v>0</v>
      </c>
      <c r="AN144" s="44">
        <v>0</v>
      </c>
      <c r="AO144" s="44">
        <v>0</v>
      </c>
      <c r="AP144" s="44">
        <v>0</v>
      </c>
      <c r="AQ144" s="44">
        <v>0</v>
      </c>
      <c r="AR144" s="44">
        <v>0</v>
      </c>
      <c r="AS144" s="44">
        <v>0</v>
      </c>
      <c r="AT144" s="44">
        <v>546898.89779999992</v>
      </c>
      <c r="AU144" s="44">
        <v>341100.21197857149</v>
      </c>
      <c r="AV144" s="44">
        <v>171898.33679999999</v>
      </c>
      <c r="AW144" s="44">
        <v>239697.33511857141</v>
      </c>
      <c r="AX144" s="62">
        <v>1059897.4465785713</v>
      </c>
      <c r="AY144" s="62">
        <v>1026242.6497785713</v>
      </c>
      <c r="AZ144" s="62">
        <v>4610</v>
      </c>
      <c r="BA144" s="62">
        <v>705330</v>
      </c>
      <c r="BB144" s="62">
        <v>0</v>
      </c>
      <c r="BC144" s="62">
        <v>0</v>
      </c>
      <c r="BD144" s="62">
        <v>1059897.4465785713</v>
      </c>
      <c r="BE144" s="44">
        <v>1059897.4465785711</v>
      </c>
      <c r="BF144" s="44">
        <v>0</v>
      </c>
      <c r="BG144" s="62">
        <v>738984.79680000001</v>
      </c>
      <c r="BH144" s="62">
        <v>567086.46</v>
      </c>
      <c r="BI144" s="44">
        <v>887999.10977857129</v>
      </c>
      <c r="BJ144" s="44">
        <v>5803.9157501867403</v>
      </c>
      <c r="BK144" s="44">
        <v>5565.1911350993378</v>
      </c>
      <c r="BL144" s="45">
        <v>4.2896031653213172E-2</v>
      </c>
      <c r="BM144" s="45">
        <v>0</v>
      </c>
      <c r="BN144" s="44">
        <v>0</v>
      </c>
      <c r="BO144" s="62">
        <v>1059897.4465785713</v>
      </c>
      <c r="BP144" s="62">
        <v>6707.468299206349</v>
      </c>
      <c r="BQ144" s="62" t="s">
        <v>92</v>
      </c>
      <c r="BR144" s="62">
        <v>6927.4342913632117</v>
      </c>
      <c r="BS144" s="53">
        <v>6.4788020536361346E-2</v>
      </c>
      <c r="BT144" s="44">
        <v>-3835.71</v>
      </c>
      <c r="BU144" s="44">
        <v>1056061.7365785714</v>
      </c>
      <c r="BV144" s="44">
        <v>0</v>
      </c>
      <c r="BW144" s="44">
        <v>1056061.7365785714</v>
      </c>
      <c r="BX144" s="44">
        <v>33654.796799999996</v>
      </c>
      <c r="BY144" s="44">
        <v>1022406.9397785714</v>
      </c>
    </row>
    <row r="145" spans="1:77">
      <c r="A145">
        <v>3421</v>
      </c>
      <c r="B145" s="60">
        <v>133996</v>
      </c>
      <c r="C145" s="60">
        <v>3303421</v>
      </c>
      <c r="D145" s="61" t="s">
        <v>578</v>
      </c>
      <c r="E145" s="52">
        <v>831</v>
      </c>
      <c r="F145" s="52">
        <v>831</v>
      </c>
      <c r="G145" s="52">
        <v>0</v>
      </c>
      <c r="H145" s="44">
        <v>2970411.6606000001</v>
      </c>
      <c r="I145" s="44">
        <v>0</v>
      </c>
      <c r="J145" s="44">
        <v>0</v>
      </c>
      <c r="K145" s="44">
        <v>139648.45160000006</v>
      </c>
      <c r="L145" s="44">
        <v>0</v>
      </c>
      <c r="M145" s="44">
        <v>233697.40880000009</v>
      </c>
      <c r="N145" s="44">
        <v>0</v>
      </c>
      <c r="O145" s="44">
        <v>27355.676799999917</v>
      </c>
      <c r="P145" s="44">
        <v>78078.081900000034</v>
      </c>
      <c r="Q145" s="44">
        <v>20541.847399999988</v>
      </c>
      <c r="R145" s="44">
        <v>23361.710400000018</v>
      </c>
      <c r="S145" s="44">
        <v>41344.608000000015</v>
      </c>
      <c r="T145" s="44">
        <v>14330.12280000001</v>
      </c>
      <c r="U145" s="44">
        <v>0</v>
      </c>
      <c r="V145" s="44">
        <v>0</v>
      </c>
      <c r="W145" s="44">
        <v>0</v>
      </c>
      <c r="X145" s="44">
        <v>0</v>
      </c>
      <c r="Y145" s="44">
        <v>0</v>
      </c>
      <c r="Z145" s="44">
        <v>0</v>
      </c>
      <c r="AA145" s="44">
        <v>99539.781078034823</v>
      </c>
      <c r="AB145" s="44">
        <v>0</v>
      </c>
      <c r="AC145" s="44">
        <v>215502.68532303235</v>
      </c>
      <c r="AD145" s="44">
        <v>0</v>
      </c>
      <c r="AE145" s="44">
        <v>0</v>
      </c>
      <c r="AF145" s="44">
        <v>0</v>
      </c>
      <c r="AG145" s="44">
        <v>138243.54</v>
      </c>
      <c r="AH145" s="44">
        <v>0</v>
      </c>
      <c r="AI145" s="44">
        <v>0</v>
      </c>
      <c r="AJ145" s="44">
        <v>0</v>
      </c>
      <c r="AK145" s="44">
        <v>32542.0157</v>
      </c>
      <c r="AL145" s="44">
        <v>0</v>
      </c>
      <c r="AM145" s="44">
        <v>0</v>
      </c>
      <c r="AN145" s="44">
        <v>0</v>
      </c>
      <c r="AO145" s="44">
        <v>0</v>
      </c>
      <c r="AP145" s="44">
        <v>0</v>
      </c>
      <c r="AQ145" s="44">
        <v>0</v>
      </c>
      <c r="AR145" s="44">
        <v>0</v>
      </c>
      <c r="AS145" s="44">
        <v>0</v>
      </c>
      <c r="AT145" s="44">
        <v>2970411.6606000001</v>
      </c>
      <c r="AU145" s="44">
        <v>893400.37410106719</v>
      </c>
      <c r="AV145" s="44">
        <v>170785.5557</v>
      </c>
      <c r="AW145" s="44">
        <v>653202.22220303235</v>
      </c>
      <c r="AX145" s="62">
        <v>4034597.5904010669</v>
      </c>
      <c r="AY145" s="62">
        <v>4002055.5747010671</v>
      </c>
      <c r="AZ145" s="62">
        <v>4610</v>
      </c>
      <c r="BA145" s="62">
        <v>3830910</v>
      </c>
      <c r="BB145" s="62">
        <v>0</v>
      </c>
      <c r="BC145" s="62">
        <v>0</v>
      </c>
      <c r="BD145" s="62">
        <v>4034597.5904010669</v>
      </c>
      <c r="BE145" s="44">
        <v>4034597.5904010683</v>
      </c>
      <c r="BF145" s="44">
        <v>0</v>
      </c>
      <c r="BG145" s="62">
        <v>3863452.0156999999</v>
      </c>
      <c r="BH145" s="62">
        <v>3692666.46</v>
      </c>
      <c r="BI145" s="44">
        <v>3863812.034701067</v>
      </c>
      <c r="BJ145" s="44">
        <v>4649.5933028893705</v>
      </c>
      <c r="BK145" s="44">
        <v>4627.6037182359951</v>
      </c>
      <c r="BL145" s="45">
        <v>4.751829670877201E-3</v>
      </c>
      <c r="BM145" s="45">
        <v>2.4817032912279914E-4</v>
      </c>
      <c r="BN145" s="44">
        <v>954.34860231555263</v>
      </c>
      <c r="BO145" s="62">
        <v>4035551.9390033823</v>
      </c>
      <c r="BP145" s="62">
        <v>4817.0997873686911</v>
      </c>
      <c r="BQ145" s="62" t="s">
        <v>92</v>
      </c>
      <c r="BR145" s="62">
        <v>4856.2598543963686</v>
      </c>
      <c r="BS145" s="53">
        <v>5.1620855478211602E-3</v>
      </c>
      <c r="BT145" s="44">
        <v>-20833.170000000002</v>
      </c>
      <c r="BU145" s="44">
        <v>4014718.7690033824</v>
      </c>
      <c r="BV145" s="44">
        <v>0</v>
      </c>
      <c r="BW145" s="44">
        <v>4014718.7690033824</v>
      </c>
      <c r="BX145" s="44">
        <v>32542.0157</v>
      </c>
      <c r="BY145" s="44">
        <v>3982176.7533033825</v>
      </c>
    </row>
    <row r="146" spans="1:77">
      <c r="A146">
        <v>3428</v>
      </c>
      <c r="B146" s="60">
        <v>134476</v>
      </c>
      <c r="C146" s="60">
        <v>3303428</v>
      </c>
      <c r="D146" s="61" t="s">
        <v>372</v>
      </c>
      <c r="E146" s="52">
        <v>413</v>
      </c>
      <c r="F146" s="52">
        <v>413</v>
      </c>
      <c r="G146" s="52">
        <v>0</v>
      </c>
      <c r="H146" s="44">
        <v>1476269.5737999999</v>
      </c>
      <c r="I146" s="44">
        <v>0</v>
      </c>
      <c r="J146" s="44">
        <v>0</v>
      </c>
      <c r="K146" s="44">
        <v>42779.631299999921</v>
      </c>
      <c r="L146" s="44">
        <v>0</v>
      </c>
      <c r="M146" s="44">
        <v>74059.037999999928</v>
      </c>
      <c r="N146" s="44">
        <v>0</v>
      </c>
      <c r="O146" s="44">
        <v>8746.6960407766946</v>
      </c>
      <c r="P146" s="44">
        <v>20928.696710436838</v>
      </c>
      <c r="Q146" s="44">
        <v>5371.7494572815522</v>
      </c>
      <c r="R146" s="44">
        <v>9757.6723252427091</v>
      </c>
      <c r="S146" s="44">
        <v>13987.673659223306</v>
      </c>
      <c r="T146" s="44">
        <v>7524.473865048546</v>
      </c>
      <c r="U146" s="44">
        <v>0</v>
      </c>
      <c r="V146" s="44">
        <v>0</v>
      </c>
      <c r="W146" s="44">
        <v>0</v>
      </c>
      <c r="X146" s="44">
        <v>0</v>
      </c>
      <c r="Y146" s="44">
        <v>0</v>
      </c>
      <c r="Z146" s="44">
        <v>0</v>
      </c>
      <c r="AA146" s="44">
        <v>36987.017400000084</v>
      </c>
      <c r="AB146" s="44">
        <v>0</v>
      </c>
      <c r="AC146" s="44">
        <v>137249.55721028213</v>
      </c>
      <c r="AD146" s="44">
        <v>0</v>
      </c>
      <c r="AE146" s="44">
        <v>10809.00691200001</v>
      </c>
      <c r="AF146" s="44">
        <v>0</v>
      </c>
      <c r="AG146" s="44">
        <v>138243.54</v>
      </c>
      <c r="AH146" s="44">
        <v>0</v>
      </c>
      <c r="AI146" s="44">
        <v>0</v>
      </c>
      <c r="AJ146" s="44">
        <v>55686.832703575397</v>
      </c>
      <c r="AK146" s="44">
        <v>44784.729599999999</v>
      </c>
      <c r="AL146" s="44">
        <v>0</v>
      </c>
      <c r="AM146" s="44">
        <v>0</v>
      </c>
      <c r="AN146" s="44">
        <v>0</v>
      </c>
      <c r="AO146" s="44">
        <v>0</v>
      </c>
      <c r="AP146" s="44">
        <v>0</v>
      </c>
      <c r="AQ146" s="44">
        <v>0</v>
      </c>
      <c r="AR146" s="44">
        <v>0</v>
      </c>
      <c r="AS146" s="44">
        <v>0</v>
      </c>
      <c r="AT146" s="44">
        <v>1476269.5737999999</v>
      </c>
      <c r="AU146" s="44">
        <v>368201.21288029174</v>
      </c>
      <c r="AV146" s="44">
        <v>238715.1023035754</v>
      </c>
      <c r="AW146" s="44">
        <v>302640.85157928686</v>
      </c>
      <c r="AX146" s="62">
        <v>2083185.8889838671</v>
      </c>
      <c r="AY146" s="62">
        <v>1982714.3266802917</v>
      </c>
      <c r="AZ146" s="62">
        <v>4610</v>
      </c>
      <c r="BA146" s="62">
        <v>1903930</v>
      </c>
      <c r="BB146" s="62">
        <v>0</v>
      </c>
      <c r="BC146" s="62">
        <v>0</v>
      </c>
      <c r="BD146" s="62">
        <v>2083185.8889838671</v>
      </c>
      <c r="BE146" s="44">
        <v>2083185.8889838674</v>
      </c>
      <c r="BF146" s="44">
        <v>0</v>
      </c>
      <c r="BG146" s="62">
        <v>2004401.5623035755</v>
      </c>
      <c r="BH146" s="62">
        <v>1821373.2927035755</v>
      </c>
      <c r="BI146" s="44">
        <v>1900157.6193838671</v>
      </c>
      <c r="BJ146" s="44">
        <v>4600.8659064984677</v>
      </c>
      <c r="BK146" s="44">
        <v>4438.7008447174449</v>
      </c>
      <c r="BL146" s="45">
        <v>3.6534352607704469E-2</v>
      </c>
      <c r="BM146" s="45">
        <v>0</v>
      </c>
      <c r="BN146" s="44">
        <v>0</v>
      </c>
      <c r="BO146" s="62">
        <v>2083185.8889838671</v>
      </c>
      <c r="BP146" s="62">
        <v>4800.7610815503431</v>
      </c>
      <c r="BQ146" s="62" t="s">
        <v>92</v>
      </c>
      <c r="BR146" s="62">
        <v>5044.0336295008892</v>
      </c>
      <c r="BS146" s="53">
        <v>3.8723507579437877E-2</v>
      </c>
      <c r="BT146" s="44">
        <v>-10353.91</v>
      </c>
      <c r="BU146" s="44">
        <v>2072831.9789838672</v>
      </c>
      <c r="BV146" s="44">
        <v>0</v>
      </c>
      <c r="BW146" s="44">
        <v>2072831.9789838672</v>
      </c>
      <c r="BX146" s="44">
        <v>44784.729599999999</v>
      </c>
      <c r="BY146" s="44">
        <v>2028047.2493838673</v>
      </c>
    </row>
    <row r="147" spans="1:77">
      <c r="A147">
        <v>3431</v>
      </c>
      <c r="B147" s="60">
        <v>134774</v>
      </c>
      <c r="C147" s="60">
        <v>3303431</v>
      </c>
      <c r="D147" s="61" t="s">
        <v>730</v>
      </c>
      <c r="E147" s="52">
        <v>628</v>
      </c>
      <c r="F147" s="52">
        <v>628</v>
      </c>
      <c r="G147" s="52">
        <v>0</v>
      </c>
      <c r="H147" s="44">
        <v>2244787.6327999998</v>
      </c>
      <c r="I147" s="44">
        <v>0</v>
      </c>
      <c r="J147" s="44">
        <v>0</v>
      </c>
      <c r="K147" s="44">
        <v>52122.30939999986</v>
      </c>
      <c r="L147" s="44">
        <v>0</v>
      </c>
      <c r="M147" s="44">
        <v>88047.967400000227</v>
      </c>
      <c r="N147" s="44">
        <v>0</v>
      </c>
      <c r="O147" s="44">
        <v>6367.2695999999987</v>
      </c>
      <c r="P147" s="44">
        <v>1430.0015000000003</v>
      </c>
      <c r="Q147" s="44">
        <v>8931.238000000003</v>
      </c>
      <c r="R147" s="44">
        <v>10220.748300000008</v>
      </c>
      <c r="S147" s="44">
        <v>28424.417999999998</v>
      </c>
      <c r="T147" s="44">
        <v>21153.990800000018</v>
      </c>
      <c r="U147" s="44">
        <v>0</v>
      </c>
      <c r="V147" s="44">
        <v>0</v>
      </c>
      <c r="W147" s="44">
        <v>0</v>
      </c>
      <c r="X147" s="44">
        <v>0</v>
      </c>
      <c r="Y147" s="44">
        <v>0</v>
      </c>
      <c r="Z147" s="44">
        <v>0</v>
      </c>
      <c r="AA147" s="44">
        <v>15204.556792565063</v>
      </c>
      <c r="AB147" s="44">
        <v>0</v>
      </c>
      <c r="AC147" s="44">
        <v>207562.00363744239</v>
      </c>
      <c r="AD147" s="44">
        <v>0</v>
      </c>
      <c r="AE147" s="44">
        <v>0</v>
      </c>
      <c r="AF147" s="44">
        <v>0</v>
      </c>
      <c r="AG147" s="44">
        <v>138243.54</v>
      </c>
      <c r="AH147" s="44">
        <v>0</v>
      </c>
      <c r="AI147" s="44">
        <v>0</v>
      </c>
      <c r="AJ147" s="44">
        <v>0</v>
      </c>
      <c r="AK147" s="44">
        <v>109798.618</v>
      </c>
      <c r="AL147" s="44">
        <v>0</v>
      </c>
      <c r="AM147" s="44">
        <v>0</v>
      </c>
      <c r="AN147" s="44">
        <v>0</v>
      </c>
      <c r="AO147" s="44">
        <v>0</v>
      </c>
      <c r="AP147" s="44">
        <v>0</v>
      </c>
      <c r="AQ147" s="44">
        <v>0</v>
      </c>
      <c r="AR147" s="44">
        <v>0</v>
      </c>
      <c r="AS147" s="44">
        <v>0</v>
      </c>
      <c r="AT147" s="44">
        <v>2244787.6327999998</v>
      </c>
      <c r="AU147" s="44">
        <v>439464.50343000761</v>
      </c>
      <c r="AV147" s="44">
        <v>248042.158</v>
      </c>
      <c r="AW147" s="44">
        <v>428150.3567774425</v>
      </c>
      <c r="AX147" s="62">
        <v>2932294.2942300071</v>
      </c>
      <c r="AY147" s="62">
        <v>2822495.6762300073</v>
      </c>
      <c r="AZ147" s="62">
        <v>4610</v>
      </c>
      <c r="BA147" s="62">
        <v>2895080</v>
      </c>
      <c r="BB147" s="62">
        <v>72584.323769992683</v>
      </c>
      <c r="BC147" s="62">
        <v>0</v>
      </c>
      <c r="BD147" s="62">
        <v>3004878.6179999998</v>
      </c>
      <c r="BE147" s="44">
        <v>3004878.6179999993</v>
      </c>
      <c r="BF147" s="44">
        <v>0</v>
      </c>
      <c r="BG147" s="62">
        <v>3004878.6179999998</v>
      </c>
      <c r="BH147" s="62">
        <v>2756836.46</v>
      </c>
      <c r="BI147" s="44">
        <v>2756836.46</v>
      </c>
      <c r="BJ147" s="44">
        <v>4389.8669745222933</v>
      </c>
      <c r="BK147" s="44">
        <v>4326.7371927419354</v>
      </c>
      <c r="BL147" s="45">
        <v>1.4590620823066764E-2</v>
      </c>
      <c r="BM147" s="45">
        <v>0</v>
      </c>
      <c r="BN147" s="44">
        <v>0</v>
      </c>
      <c r="BO147" s="62">
        <v>3004878.6179999998</v>
      </c>
      <c r="BP147" s="62">
        <v>4610</v>
      </c>
      <c r="BQ147" s="62" t="s">
        <v>92</v>
      </c>
      <c r="BR147" s="62">
        <v>4784.8385636942676</v>
      </c>
      <c r="BS147" s="53">
        <v>3.5715168505515704E-2</v>
      </c>
      <c r="BT147" s="44">
        <v>-15743.960000000001</v>
      </c>
      <c r="BU147" s="44">
        <v>2989134.6579999998</v>
      </c>
      <c r="BV147" s="44">
        <v>0</v>
      </c>
      <c r="BW147" s="44">
        <v>2989134.6579999998</v>
      </c>
      <c r="BX147" s="44">
        <v>109798.618</v>
      </c>
      <c r="BY147" s="44">
        <v>2879336.04</v>
      </c>
    </row>
    <row r="148" spans="1:77">
      <c r="A148">
        <v>3432</v>
      </c>
      <c r="B148" s="60">
        <v>134840</v>
      </c>
      <c r="C148" s="60">
        <v>3303432</v>
      </c>
      <c r="D148" s="61" t="s">
        <v>443</v>
      </c>
      <c r="E148" s="52">
        <v>788</v>
      </c>
      <c r="F148" s="52">
        <v>788</v>
      </c>
      <c r="G148" s="52">
        <v>0</v>
      </c>
      <c r="H148" s="44">
        <v>2816708.0488</v>
      </c>
      <c r="I148" s="44">
        <v>0</v>
      </c>
      <c r="J148" s="44">
        <v>0</v>
      </c>
      <c r="K148" s="44">
        <v>204555.47839999988</v>
      </c>
      <c r="L148" s="44">
        <v>0</v>
      </c>
      <c r="M148" s="44">
        <v>351368.99140000035</v>
      </c>
      <c r="N148" s="44">
        <v>0</v>
      </c>
      <c r="O148" s="44">
        <v>2358.2479999999928</v>
      </c>
      <c r="P148" s="44">
        <v>11154.011699999992</v>
      </c>
      <c r="Q148" s="44">
        <v>23221.218799999988</v>
      </c>
      <c r="R148" s="44">
        <v>141143.66700000002</v>
      </c>
      <c r="S148" s="44">
        <v>117315.32520000011</v>
      </c>
      <c r="T148" s="44">
        <v>107134.72759999998</v>
      </c>
      <c r="U148" s="44">
        <v>0</v>
      </c>
      <c r="V148" s="44">
        <v>0</v>
      </c>
      <c r="W148" s="44">
        <v>0</v>
      </c>
      <c r="X148" s="44">
        <v>0</v>
      </c>
      <c r="Y148" s="44">
        <v>0</v>
      </c>
      <c r="Z148" s="44">
        <v>0</v>
      </c>
      <c r="AA148" s="44">
        <v>228822.79634772381</v>
      </c>
      <c r="AB148" s="44">
        <v>0</v>
      </c>
      <c r="AC148" s="44">
        <v>535367.04251448496</v>
      </c>
      <c r="AD148" s="44">
        <v>0</v>
      </c>
      <c r="AE148" s="44">
        <v>23814.496511999987</v>
      </c>
      <c r="AF148" s="44">
        <v>0</v>
      </c>
      <c r="AG148" s="44">
        <v>138243.54</v>
      </c>
      <c r="AH148" s="44">
        <v>0</v>
      </c>
      <c r="AI148" s="44">
        <v>0</v>
      </c>
      <c r="AJ148" s="44">
        <v>0</v>
      </c>
      <c r="AK148" s="44">
        <v>32329.804800000002</v>
      </c>
      <c r="AL148" s="44">
        <v>375611.45</v>
      </c>
      <c r="AM148" s="44">
        <v>0</v>
      </c>
      <c r="AN148" s="44">
        <v>0</v>
      </c>
      <c r="AO148" s="44">
        <v>0</v>
      </c>
      <c r="AP148" s="44">
        <v>0</v>
      </c>
      <c r="AQ148" s="44">
        <v>0</v>
      </c>
      <c r="AR148" s="44">
        <v>0</v>
      </c>
      <c r="AS148" s="44">
        <v>0</v>
      </c>
      <c r="AT148" s="44">
        <v>2816708.0488</v>
      </c>
      <c r="AU148" s="44">
        <v>1746256.003474209</v>
      </c>
      <c r="AV148" s="44">
        <v>546184.79480000003</v>
      </c>
      <c r="AW148" s="44">
        <v>1155328.2790044853</v>
      </c>
      <c r="AX148" s="62">
        <v>5109148.8470742088</v>
      </c>
      <c r="AY148" s="62">
        <v>4701207.5922742086</v>
      </c>
      <c r="AZ148" s="62">
        <v>4610</v>
      </c>
      <c r="BA148" s="62">
        <v>3632680</v>
      </c>
      <c r="BB148" s="62">
        <v>0</v>
      </c>
      <c r="BC148" s="62">
        <v>0</v>
      </c>
      <c r="BD148" s="62">
        <v>5109148.8470742088</v>
      </c>
      <c r="BE148" s="44">
        <v>5109148.8470742097</v>
      </c>
      <c r="BF148" s="44">
        <v>0</v>
      </c>
      <c r="BG148" s="62">
        <v>4040621.2548000002</v>
      </c>
      <c r="BH148" s="62">
        <v>3870047.91</v>
      </c>
      <c r="BI148" s="44">
        <v>4938575.5022742087</v>
      </c>
      <c r="BJ148" s="44">
        <v>6267.2277947642242</v>
      </c>
      <c r="BK148" s="44">
        <v>6041.4714114624512</v>
      </c>
      <c r="BL148" s="45">
        <v>3.7367781443680526E-2</v>
      </c>
      <c r="BM148" s="45">
        <v>0</v>
      </c>
      <c r="BN148" s="44">
        <v>0</v>
      </c>
      <c r="BO148" s="62">
        <v>5109148.8470742088</v>
      </c>
      <c r="BP148" s="62">
        <v>5965.9994825814829</v>
      </c>
      <c r="BQ148" s="62" t="s">
        <v>92</v>
      </c>
      <c r="BR148" s="62">
        <v>6483.6914302972191</v>
      </c>
      <c r="BS148" s="53">
        <v>1.8798099629204312E-2</v>
      </c>
      <c r="BT148" s="44">
        <v>-19755.16</v>
      </c>
      <c r="BU148" s="44">
        <v>5089393.6870742086</v>
      </c>
      <c r="BV148" s="44">
        <v>0</v>
      </c>
      <c r="BW148" s="44">
        <v>5089393.6870742086</v>
      </c>
      <c r="BX148" s="44">
        <v>32329.804800000002</v>
      </c>
      <c r="BY148" s="44">
        <v>5057063.8822742086</v>
      </c>
    </row>
    <row r="149" spans="1:77">
      <c r="A149">
        <v>3435</v>
      </c>
      <c r="B149" s="60">
        <v>131920</v>
      </c>
      <c r="C149" s="60">
        <v>3303435</v>
      </c>
      <c r="D149" s="61" t="s">
        <v>461</v>
      </c>
      <c r="E149" s="52">
        <v>422</v>
      </c>
      <c r="F149" s="52">
        <v>422</v>
      </c>
      <c r="G149" s="52">
        <v>0</v>
      </c>
      <c r="H149" s="44">
        <v>1508440.0972</v>
      </c>
      <c r="I149" s="44">
        <v>0</v>
      </c>
      <c r="J149" s="44">
        <v>0</v>
      </c>
      <c r="K149" s="44">
        <v>13768.157199999992</v>
      </c>
      <c r="L149" s="44">
        <v>0</v>
      </c>
      <c r="M149" s="44">
        <v>24686.34599999999</v>
      </c>
      <c r="N149" s="44">
        <v>0</v>
      </c>
      <c r="O149" s="44">
        <v>1414.9488000000015</v>
      </c>
      <c r="P149" s="44">
        <v>286.00030000000021</v>
      </c>
      <c r="Q149" s="44">
        <v>0</v>
      </c>
      <c r="R149" s="44">
        <v>1946.8091999999997</v>
      </c>
      <c r="S149" s="44">
        <v>0</v>
      </c>
      <c r="T149" s="44">
        <v>0</v>
      </c>
      <c r="U149" s="44">
        <v>0</v>
      </c>
      <c r="V149" s="44">
        <v>0</v>
      </c>
      <c r="W149" s="44">
        <v>0</v>
      </c>
      <c r="X149" s="44">
        <v>0</v>
      </c>
      <c r="Y149" s="44">
        <v>0</v>
      </c>
      <c r="Z149" s="44">
        <v>0</v>
      </c>
      <c r="AA149" s="44">
        <v>46933.88548729274</v>
      </c>
      <c r="AB149" s="44">
        <v>0</v>
      </c>
      <c r="AC149" s="44">
        <v>92114.184375745885</v>
      </c>
      <c r="AD149" s="44">
        <v>0</v>
      </c>
      <c r="AE149" s="44">
        <v>0</v>
      </c>
      <c r="AF149" s="44">
        <v>0</v>
      </c>
      <c r="AG149" s="44">
        <v>138243.54</v>
      </c>
      <c r="AH149" s="44">
        <v>0</v>
      </c>
      <c r="AI149" s="44">
        <v>0</v>
      </c>
      <c r="AJ149" s="44">
        <v>0</v>
      </c>
      <c r="AK149" s="44">
        <v>5193.9706999999999</v>
      </c>
      <c r="AL149" s="44">
        <v>0</v>
      </c>
      <c r="AM149" s="44">
        <v>0</v>
      </c>
      <c r="AN149" s="44">
        <v>0</v>
      </c>
      <c r="AO149" s="44">
        <v>0</v>
      </c>
      <c r="AP149" s="44">
        <v>0</v>
      </c>
      <c r="AQ149" s="44">
        <v>0</v>
      </c>
      <c r="AR149" s="44">
        <v>0</v>
      </c>
      <c r="AS149" s="44">
        <v>0</v>
      </c>
      <c r="AT149" s="44">
        <v>1508440.0972</v>
      </c>
      <c r="AU149" s="44">
        <v>181150.3313630386</v>
      </c>
      <c r="AV149" s="44">
        <v>143437.51070000001</v>
      </c>
      <c r="AW149" s="44">
        <v>188587.31998574588</v>
      </c>
      <c r="AX149" s="62">
        <v>1833027.9392630386</v>
      </c>
      <c r="AY149" s="62">
        <v>1827833.9685630386</v>
      </c>
      <c r="AZ149" s="62">
        <v>4610</v>
      </c>
      <c r="BA149" s="62">
        <v>1945420</v>
      </c>
      <c r="BB149" s="62">
        <v>117586.03143696138</v>
      </c>
      <c r="BC149" s="62">
        <v>0</v>
      </c>
      <c r="BD149" s="62">
        <v>1950613.9706999999</v>
      </c>
      <c r="BE149" s="44">
        <v>1950613.9706999997</v>
      </c>
      <c r="BF149" s="44">
        <v>0</v>
      </c>
      <c r="BG149" s="62">
        <v>1950613.9706999999</v>
      </c>
      <c r="BH149" s="62">
        <v>1807176.46</v>
      </c>
      <c r="BI149" s="44">
        <v>1807176.46</v>
      </c>
      <c r="BJ149" s="44">
        <v>4282.4086729857818</v>
      </c>
      <c r="BK149" s="44">
        <v>4213.9702346793347</v>
      </c>
      <c r="BL149" s="45">
        <v>1.6240845211298691E-2</v>
      </c>
      <c r="BM149" s="45">
        <v>0</v>
      </c>
      <c r="BN149" s="44">
        <v>0</v>
      </c>
      <c r="BO149" s="62">
        <v>1950613.9706999999</v>
      </c>
      <c r="BP149" s="62">
        <v>4610</v>
      </c>
      <c r="BQ149" s="62" t="s">
        <v>92</v>
      </c>
      <c r="BR149" s="62">
        <v>4622.3079874407586</v>
      </c>
      <c r="BS149" s="53">
        <v>1.1722377298941655E-3</v>
      </c>
      <c r="BT149" s="44">
        <v>-10579.54</v>
      </c>
      <c r="BU149" s="44">
        <v>1940034.4306999999</v>
      </c>
      <c r="BV149" s="44">
        <v>0</v>
      </c>
      <c r="BW149" s="44">
        <v>1940034.4306999999</v>
      </c>
      <c r="BX149" s="44">
        <v>5193.9706999999999</v>
      </c>
      <c r="BY149" s="44">
        <v>1934840.46</v>
      </c>
    </row>
    <row r="150" spans="1:77">
      <c r="A150">
        <v>3436</v>
      </c>
      <c r="B150" s="60">
        <v>136440</v>
      </c>
      <c r="C150" s="60">
        <v>3303436</v>
      </c>
      <c r="D150" s="61" t="s">
        <v>874</v>
      </c>
      <c r="E150" s="52">
        <v>176</v>
      </c>
      <c r="F150" s="52">
        <v>176</v>
      </c>
      <c r="G150" s="52">
        <v>0</v>
      </c>
      <c r="H150" s="44">
        <v>629112.45759999997</v>
      </c>
      <c r="I150" s="44">
        <v>0</v>
      </c>
      <c r="J150" s="44">
        <v>0</v>
      </c>
      <c r="K150" s="44">
        <v>34420.393000000018</v>
      </c>
      <c r="L150" s="44">
        <v>0</v>
      </c>
      <c r="M150" s="44">
        <v>57601.474000000031</v>
      </c>
      <c r="N150" s="44">
        <v>0</v>
      </c>
      <c r="O150" s="44">
        <v>3301.5471999999986</v>
      </c>
      <c r="P150" s="44">
        <v>2288.0024000000017</v>
      </c>
      <c r="Q150" s="44">
        <v>21434.971200000018</v>
      </c>
      <c r="R150" s="44">
        <v>8760.6413999999768</v>
      </c>
      <c r="S150" s="44">
        <v>28424.417999999998</v>
      </c>
      <c r="T150" s="44">
        <v>14330.122800000021</v>
      </c>
      <c r="U150" s="44">
        <v>0</v>
      </c>
      <c r="V150" s="44">
        <v>0</v>
      </c>
      <c r="W150" s="44">
        <v>0</v>
      </c>
      <c r="X150" s="44">
        <v>0</v>
      </c>
      <c r="Y150" s="44">
        <v>0</v>
      </c>
      <c r="Z150" s="44">
        <v>0</v>
      </c>
      <c r="AA150" s="44">
        <v>24202.33046709677</v>
      </c>
      <c r="AB150" s="44">
        <v>0</v>
      </c>
      <c r="AC150" s="44">
        <v>68580.464343729531</v>
      </c>
      <c r="AD150" s="44">
        <v>0</v>
      </c>
      <c r="AE150" s="44">
        <v>22581.383423999971</v>
      </c>
      <c r="AF150" s="44">
        <v>0</v>
      </c>
      <c r="AG150" s="44">
        <v>138243.54</v>
      </c>
      <c r="AH150" s="44">
        <v>0</v>
      </c>
      <c r="AI150" s="44">
        <v>0</v>
      </c>
      <c r="AJ150" s="44">
        <v>0</v>
      </c>
      <c r="AK150" s="44">
        <v>6677.9638000000004</v>
      </c>
      <c r="AL150" s="44">
        <v>0</v>
      </c>
      <c r="AM150" s="44">
        <v>0</v>
      </c>
      <c r="AN150" s="44">
        <v>0</v>
      </c>
      <c r="AO150" s="44">
        <v>0</v>
      </c>
      <c r="AP150" s="44">
        <v>0</v>
      </c>
      <c r="AQ150" s="44">
        <v>0</v>
      </c>
      <c r="AR150" s="44">
        <v>0</v>
      </c>
      <c r="AS150" s="44">
        <v>0</v>
      </c>
      <c r="AT150" s="44">
        <v>629112.45759999997</v>
      </c>
      <c r="AU150" s="44">
        <v>285925.74823482637</v>
      </c>
      <c r="AV150" s="44">
        <v>144921.50380000001</v>
      </c>
      <c r="AW150" s="44">
        <v>185316.87222372956</v>
      </c>
      <c r="AX150" s="62">
        <v>1059959.7096348263</v>
      </c>
      <c r="AY150" s="62">
        <v>1053281.7458348263</v>
      </c>
      <c r="AZ150" s="62">
        <v>4610</v>
      </c>
      <c r="BA150" s="62">
        <v>811360</v>
      </c>
      <c r="BB150" s="62">
        <v>0</v>
      </c>
      <c r="BC150" s="62">
        <v>0</v>
      </c>
      <c r="BD150" s="62">
        <v>1059959.7096348263</v>
      </c>
      <c r="BE150" s="44">
        <v>1059959.7096348263</v>
      </c>
      <c r="BF150" s="44">
        <v>0</v>
      </c>
      <c r="BG150" s="62">
        <v>818037.96380000003</v>
      </c>
      <c r="BH150" s="62">
        <v>673116.46</v>
      </c>
      <c r="BI150" s="44">
        <v>915038.20583482622</v>
      </c>
      <c r="BJ150" s="44">
        <v>5199.0807149706034</v>
      </c>
      <c r="BK150" s="44">
        <v>5154.5306500000006</v>
      </c>
      <c r="BL150" s="45">
        <v>8.6428945709349416E-3</v>
      </c>
      <c r="BM150" s="45">
        <v>0</v>
      </c>
      <c r="BN150" s="44">
        <v>0</v>
      </c>
      <c r="BO150" s="62">
        <v>1059959.7096348263</v>
      </c>
      <c r="BP150" s="62">
        <v>5984.5553740615132</v>
      </c>
      <c r="BQ150" s="62" t="s">
        <v>92</v>
      </c>
      <c r="BR150" s="62">
        <v>6022.4983501978768</v>
      </c>
      <c r="BS150" s="53">
        <v>9.0206881999124189E-3</v>
      </c>
      <c r="BT150" s="44">
        <v>-4412.32</v>
      </c>
      <c r="BU150" s="44">
        <v>1055547.3896348262</v>
      </c>
      <c r="BV150" s="44">
        <v>0</v>
      </c>
      <c r="BW150" s="44">
        <v>1055547.3896348262</v>
      </c>
      <c r="BX150" s="44">
        <v>6677.9638000000004</v>
      </c>
      <c r="BY150" s="44">
        <v>1048869.4258348262</v>
      </c>
    </row>
    <row r="151" spans="1:77">
      <c r="A151">
        <v>5202</v>
      </c>
      <c r="B151" s="60">
        <v>103543</v>
      </c>
      <c r="C151" s="60">
        <v>3305202</v>
      </c>
      <c r="D151" s="61" t="s">
        <v>390</v>
      </c>
      <c r="E151" s="52">
        <v>360</v>
      </c>
      <c r="F151" s="52">
        <v>360</v>
      </c>
      <c r="G151" s="52">
        <v>0</v>
      </c>
      <c r="H151" s="44">
        <v>1286820.936</v>
      </c>
      <c r="I151" s="44">
        <v>0</v>
      </c>
      <c r="J151" s="44">
        <v>0</v>
      </c>
      <c r="K151" s="44">
        <v>22127.395499999999</v>
      </c>
      <c r="L151" s="44">
        <v>0</v>
      </c>
      <c r="M151" s="44">
        <v>41966.788200000097</v>
      </c>
      <c r="N151" s="44">
        <v>0</v>
      </c>
      <c r="O151" s="44">
        <v>11083.765600000039</v>
      </c>
      <c r="P151" s="44">
        <v>2002.0020999999954</v>
      </c>
      <c r="Q151" s="44">
        <v>446.56190000000038</v>
      </c>
      <c r="R151" s="44">
        <v>3893.6183999999953</v>
      </c>
      <c r="S151" s="44">
        <v>3617.6531999999916</v>
      </c>
      <c r="T151" s="44">
        <v>1364.7736000000011</v>
      </c>
      <c r="U151" s="44">
        <v>0</v>
      </c>
      <c r="V151" s="44">
        <v>0</v>
      </c>
      <c r="W151" s="44">
        <v>0</v>
      </c>
      <c r="X151" s="44">
        <v>0</v>
      </c>
      <c r="Y151" s="44">
        <v>0</v>
      </c>
      <c r="Z151" s="44">
        <v>0</v>
      </c>
      <c r="AA151" s="44">
        <v>9473.1343999999899</v>
      </c>
      <c r="AB151" s="44">
        <v>0</v>
      </c>
      <c r="AC151" s="44">
        <v>117451.10544871422</v>
      </c>
      <c r="AD151" s="44">
        <v>0</v>
      </c>
      <c r="AE151" s="44">
        <v>0</v>
      </c>
      <c r="AF151" s="44">
        <v>0</v>
      </c>
      <c r="AG151" s="44">
        <v>138243.54</v>
      </c>
      <c r="AH151" s="44">
        <v>0</v>
      </c>
      <c r="AI151" s="44">
        <v>0</v>
      </c>
      <c r="AJ151" s="44">
        <v>0</v>
      </c>
      <c r="AK151" s="44">
        <v>4213.4724999999999</v>
      </c>
      <c r="AL151" s="44">
        <v>0</v>
      </c>
      <c r="AM151" s="44">
        <v>0</v>
      </c>
      <c r="AN151" s="44">
        <v>0</v>
      </c>
      <c r="AO151" s="44">
        <v>0</v>
      </c>
      <c r="AP151" s="44">
        <v>0</v>
      </c>
      <c r="AQ151" s="44">
        <v>0</v>
      </c>
      <c r="AR151" s="44">
        <v>0</v>
      </c>
      <c r="AS151" s="44">
        <v>0</v>
      </c>
      <c r="AT151" s="44">
        <v>1286820.936</v>
      </c>
      <c r="AU151" s="44">
        <v>213426.79834871434</v>
      </c>
      <c r="AV151" s="44">
        <v>142457.01250000001</v>
      </c>
      <c r="AW151" s="44">
        <v>225043.43149871432</v>
      </c>
      <c r="AX151" s="62">
        <v>1642704.7468487143</v>
      </c>
      <c r="AY151" s="62">
        <v>1638491.2743487144</v>
      </c>
      <c r="AZ151" s="62">
        <v>4610</v>
      </c>
      <c r="BA151" s="62">
        <v>1659600</v>
      </c>
      <c r="BB151" s="62">
        <v>21108.725651285611</v>
      </c>
      <c r="BC151" s="62">
        <v>0</v>
      </c>
      <c r="BD151" s="62">
        <v>1663813.4724999999</v>
      </c>
      <c r="BE151" s="44">
        <v>1663813.4725000001</v>
      </c>
      <c r="BF151" s="44">
        <v>0</v>
      </c>
      <c r="BG151" s="62">
        <v>1663813.4724999999</v>
      </c>
      <c r="BH151" s="62">
        <v>1521356.46</v>
      </c>
      <c r="BI151" s="44">
        <v>1521356.46</v>
      </c>
      <c r="BJ151" s="44">
        <v>4225.9901666666665</v>
      </c>
      <c r="BK151" s="44">
        <v>4166.5867738888892</v>
      </c>
      <c r="BL151" s="45">
        <v>1.4257087635866771E-2</v>
      </c>
      <c r="BM151" s="45">
        <v>0</v>
      </c>
      <c r="BN151" s="44">
        <v>0</v>
      </c>
      <c r="BO151" s="62">
        <v>1663813.4724999999</v>
      </c>
      <c r="BP151" s="62">
        <v>4610</v>
      </c>
      <c r="BQ151" s="62" t="s">
        <v>92</v>
      </c>
      <c r="BR151" s="62">
        <v>4621.7040902777771</v>
      </c>
      <c r="BS151" s="53">
        <v>1.1622334998224959E-2</v>
      </c>
      <c r="BT151" s="44">
        <v>-9025.2000000000007</v>
      </c>
      <c r="BU151" s="44">
        <v>1654788.2725</v>
      </c>
      <c r="BV151" s="44">
        <v>0</v>
      </c>
      <c r="BW151" s="44">
        <v>1654788.2725</v>
      </c>
      <c r="BX151" s="44">
        <v>4213.4724999999999</v>
      </c>
      <c r="BY151" s="44">
        <v>1650574.8</v>
      </c>
    </row>
    <row r="152" spans="1:77">
      <c r="A152">
        <v>5203</v>
      </c>
      <c r="B152" s="60">
        <v>103544</v>
      </c>
      <c r="C152" s="60">
        <v>3305203</v>
      </c>
      <c r="D152" s="61" t="s">
        <v>387</v>
      </c>
      <c r="E152" s="52">
        <v>270</v>
      </c>
      <c r="F152" s="52">
        <v>270</v>
      </c>
      <c r="G152" s="52">
        <v>0</v>
      </c>
      <c r="H152" s="44">
        <v>965115.70199999993</v>
      </c>
      <c r="I152" s="44">
        <v>0</v>
      </c>
      <c r="J152" s="44">
        <v>0</v>
      </c>
      <c r="K152" s="44">
        <v>9834.3980000000029</v>
      </c>
      <c r="L152" s="44">
        <v>0</v>
      </c>
      <c r="M152" s="44">
        <v>17280.442200000005</v>
      </c>
      <c r="N152" s="44">
        <v>0</v>
      </c>
      <c r="O152" s="44">
        <v>12116.819014925402</v>
      </c>
      <c r="P152" s="44">
        <v>1440.6731529850708</v>
      </c>
      <c r="Q152" s="44">
        <v>0</v>
      </c>
      <c r="R152" s="44">
        <v>5393.6784738805982</v>
      </c>
      <c r="S152" s="44">
        <v>6247.9724776119438</v>
      </c>
      <c r="T152" s="44">
        <v>0</v>
      </c>
      <c r="U152" s="44">
        <v>0</v>
      </c>
      <c r="V152" s="44">
        <v>0</v>
      </c>
      <c r="W152" s="44">
        <v>0</v>
      </c>
      <c r="X152" s="44">
        <v>0</v>
      </c>
      <c r="Y152" s="44">
        <v>0</v>
      </c>
      <c r="Z152" s="44">
        <v>0</v>
      </c>
      <c r="AA152" s="44">
        <v>14209.701600000004</v>
      </c>
      <c r="AB152" s="44">
        <v>0</v>
      </c>
      <c r="AC152" s="44">
        <v>96714.551898305101</v>
      </c>
      <c r="AD152" s="44">
        <v>0</v>
      </c>
      <c r="AE152" s="44">
        <v>0</v>
      </c>
      <c r="AF152" s="44">
        <v>0</v>
      </c>
      <c r="AG152" s="44">
        <v>138243.54</v>
      </c>
      <c r="AH152" s="44">
        <v>0</v>
      </c>
      <c r="AI152" s="44">
        <v>0</v>
      </c>
      <c r="AJ152" s="44">
        <v>0</v>
      </c>
      <c r="AK152" s="44">
        <v>6271.1652999999997</v>
      </c>
      <c r="AL152" s="44">
        <v>0</v>
      </c>
      <c r="AM152" s="44">
        <v>0</v>
      </c>
      <c r="AN152" s="44">
        <v>0</v>
      </c>
      <c r="AO152" s="44">
        <v>0</v>
      </c>
      <c r="AP152" s="44">
        <v>0</v>
      </c>
      <c r="AQ152" s="44">
        <v>0</v>
      </c>
      <c r="AR152" s="44">
        <v>0</v>
      </c>
      <c r="AS152" s="44">
        <v>0</v>
      </c>
      <c r="AT152" s="44">
        <v>965115.70199999993</v>
      </c>
      <c r="AU152" s="44">
        <v>163238.23681770812</v>
      </c>
      <c r="AV152" s="44">
        <v>144514.7053</v>
      </c>
      <c r="AW152" s="44">
        <v>171127.32865800662</v>
      </c>
      <c r="AX152" s="62">
        <v>1272868.6441177081</v>
      </c>
      <c r="AY152" s="62">
        <v>1266597.4788177081</v>
      </c>
      <c r="AZ152" s="62">
        <v>4610</v>
      </c>
      <c r="BA152" s="62">
        <v>1244700</v>
      </c>
      <c r="BB152" s="62">
        <v>0</v>
      </c>
      <c r="BC152" s="62">
        <v>0</v>
      </c>
      <c r="BD152" s="62">
        <v>1272868.6441177081</v>
      </c>
      <c r="BE152" s="44">
        <v>1272868.6441177083</v>
      </c>
      <c r="BF152" s="44">
        <v>0</v>
      </c>
      <c r="BG152" s="62">
        <v>1250971.1653</v>
      </c>
      <c r="BH152" s="62">
        <v>1106456.46</v>
      </c>
      <c r="BI152" s="44">
        <v>1128353.9388177081</v>
      </c>
      <c r="BJ152" s="44">
        <v>4179.0886622878079</v>
      </c>
      <c r="BK152" s="44">
        <v>4149.0510633333324</v>
      </c>
      <c r="BL152" s="45">
        <v>7.2396310616489193E-3</v>
      </c>
      <c r="BM152" s="45">
        <v>0</v>
      </c>
      <c r="BN152" s="44">
        <v>0</v>
      </c>
      <c r="BO152" s="62">
        <v>1272868.6441177081</v>
      </c>
      <c r="BP152" s="62">
        <v>4691.1017733989192</v>
      </c>
      <c r="BQ152" s="62" t="s">
        <v>92</v>
      </c>
      <c r="BR152" s="62">
        <v>4714.3283115470667</v>
      </c>
      <c r="BS152" s="53">
        <v>8.1504401227561196E-3</v>
      </c>
      <c r="BT152" s="44">
        <v>-6768.9</v>
      </c>
      <c r="BU152" s="44">
        <v>1266099.7441177082</v>
      </c>
      <c r="BV152" s="44">
        <v>0</v>
      </c>
      <c r="BW152" s="44">
        <v>1266099.7441177082</v>
      </c>
      <c r="BX152" s="44">
        <v>6271.1652999999997</v>
      </c>
      <c r="BY152" s="44">
        <v>1259828.5788177082</v>
      </c>
    </row>
    <row r="153" spans="1:77">
      <c r="A153">
        <v>5949</v>
      </c>
      <c r="B153" s="60">
        <v>131465</v>
      </c>
      <c r="C153" s="60">
        <v>3305949</v>
      </c>
      <c r="D153" s="61" t="s">
        <v>581</v>
      </c>
      <c r="E153" s="52">
        <v>627</v>
      </c>
      <c r="F153" s="52">
        <v>627</v>
      </c>
      <c r="G153" s="52">
        <v>0</v>
      </c>
      <c r="H153" s="44">
        <v>2241213.1302</v>
      </c>
      <c r="I153" s="44">
        <v>0</v>
      </c>
      <c r="J153" s="44">
        <v>0</v>
      </c>
      <c r="K153" s="44">
        <v>110145.25760000003</v>
      </c>
      <c r="L153" s="44">
        <v>0</v>
      </c>
      <c r="M153" s="44">
        <v>190084.86420000001</v>
      </c>
      <c r="N153" s="44">
        <v>0</v>
      </c>
      <c r="O153" s="44">
        <v>5188.145599999998</v>
      </c>
      <c r="P153" s="44">
        <v>82082.086099999913</v>
      </c>
      <c r="Q153" s="44">
        <v>55820.237500000097</v>
      </c>
      <c r="R153" s="44">
        <v>53050.550700000109</v>
      </c>
      <c r="S153" s="44">
        <v>17054.650799999992</v>
      </c>
      <c r="T153" s="44">
        <v>6141.4811999999856</v>
      </c>
      <c r="U153" s="44">
        <v>0</v>
      </c>
      <c r="V153" s="44">
        <v>0</v>
      </c>
      <c r="W153" s="44">
        <v>0</v>
      </c>
      <c r="X153" s="44">
        <v>0</v>
      </c>
      <c r="Y153" s="44">
        <v>0</v>
      </c>
      <c r="Z153" s="44">
        <v>0</v>
      </c>
      <c r="AA153" s="44">
        <v>149733.41000576201</v>
      </c>
      <c r="AB153" s="44">
        <v>0</v>
      </c>
      <c r="AC153" s="44">
        <v>181660.94348964238</v>
      </c>
      <c r="AD153" s="44">
        <v>0</v>
      </c>
      <c r="AE153" s="44">
        <v>0</v>
      </c>
      <c r="AF153" s="44">
        <v>0</v>
      </c>
      <c r="AG153" s="44">
        <v>138243.54</v>
      </c>
      <c r="AH153" s="44">
        <v>0</v>
      </c>
      <c r="AI153" s="44">
        <v>0</v>
      </c>
      <c r="AJ153" s="44">
        <v>0</v>
      </c>
      <c r="AK153" s="44">
        <v>69242.6976</v>
      </c>
      <c r="AL153" s="44">
        <v>0</v>
      </c>
      <c r="AM153" s="44">
        <v>0</v>
      </c>
      <c r="AN153" s="44">
        <v>0</v>
      </c>
      <c r="AO153" s="44">
        <v>0</v>
      </c>
      <c r="AP153" s="44">
        <v>0</v>
      </c>
      <c r="AQ153" s="44">
        <v>0</v>
      </c>
      <c r="AR153" s="44">
        <v>0</v>
      </c>
      <c r="AS153" s="44">
        <v>0</v>
      </c>
      <c r="AT153" s="44">
        <v>2241213.1302</v>
      </c>
      <c r="AU153" s="44">
        <v>850961.62719540449</v>
      </c>
      <c r="AV153" s="44">
        <v>207486.23759999999</v>
      </c>
      <c r="AW153" s="44">
        <v>553505.23684964248</v>
      </c>
      <c r="AX153" s="62">
        <v>3299660.9949954045</v>
      </c>
      <c r="AY153" s="62">
        <v>3230418.2973954044</v>
      </c>
      <c r="AZ153" s="62">
        <v>4610</v>
      </c>
      <c r="BA153" s="62">
        <v>2890470</v>
      </c>
      <c r="BB153" s="62">
        <v>0</v>
      </c>
      <c r="BC153" s="62">
        <v>0</v>
      </c>
      <c r="BD153" s="62">
        <v>3299660.9949954045</v>
      </c>
      <c r="BE153" s="44">
        <v>3299660.994995405</v>
      </c>
      <c r="BF153" s="44">
        <v>0</v>
      </c>
      <c r="BG153" s="62">
        <v>2959712.6976000001</v>
      </c>
      <c r="BH153" s="62">
        <v>2752226.46</v>
      </c>
      <c r="BI153" s="44">
        <v>3092174.7573954044</v>
      </c>
      <c r="BJ153" s="44">
        <v>4931.6981776641214</v>
      </c>
      <c r="BK153" s="44">
        <v>4813.1753087440384</v>
      </c>
      <c r="BL153" s="45">
        <v>2.4624673176720568E-2</v>
      </c>
      <c r="BM153" s="45">
        <v>0</v>
      </c>
      <c r="BN153" s="44">
        <v>0</v>
      </c>
      <c r="BO153" s="62">
        <v>3299660.9949954045</v>
      </c>
      <c r="BP153" s="62">
        <v>5152.1822924966582</v>
      </c>
      <c r="BQ153" s="62" t="s">
        <v>92</v>
      </c>
      <c r="BR153" s="62">
        <v>5262.6172168985722</v>
      </c>
      <c r="BS153" s="53">
        <v>4.3623831090133347E-2</v>
      </c>
      <c r="BT153" s="44">
        <v>-15718.89</v>
      </c>
      <c r="BU153" s="44">
        <v>3283942.1049954044</v>
      </c>
      <c r="BV153" s="44">
        <v>0</v>
      </c>
      <c r="BW153" s="44">
        <v>3283942.1049954044</v>
      </c>
      <c r="BX153" s="44">
        <v>69242.6976</v>
      </c>
      <c r="BY153" s="44">
        <v>3214699.4073954043</v>
      </c>
    </row>
    <row r="154" spans="1:77">
      <c r="A154">
        <v>4015</v>
      </c>
      <c r="B154" s="60">
        <v>103483</v>
      </c>
      <c r="C154" s="60">
        <v>3304015</v>
      </c>
      <c r="D154" s="61" t="s">
        <v>306</v>
      </c>
      <c r="E154" s="52">
        <v>751</v>
      </c>
      <c r="F154" s="52">
        <v>0</v>
      </c>
      <c r="G154" s="52">
        <v>751</v>
      </c>
      <c r="H154" s="44">
        <v>0</v>
      </c>
      <c r="I154" s="44">
        <v>2272871.8671999997</v>
      </c>
      <c r="J154" s="44">
        <v>1704261.03</v>
      </c>
      <c r="K154" s="44">
        <v>0</v>
      </c>
      <c r="L154" s="44">
        <v>148499.40979999982</v>
      </c>
      <c r="M154" s="44">
        <v>0</v>
      </c>
      <c r="N154" s="44">
        <v>391368.89999999985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4">
        <v>0</v>
      </c>
      <c r="U154" s="44">
        <v>23542.3446</v>
      </c>
      <c r="V154" s="44">
        <v>81284.309999999896</v>
      </c>
      <c r="W154" s="44">
        <v>34139.410200000006</v>
      </c>
      <c r="X154" s="44">
        <v>53316.486299999837</v>
      </c>
      <c r="Y154" s="44">
        <v>100993.24639999993</v>
      </c>
      <c r="Z154" s="44">
        <v>38880.992900000027</v>
      </c>
      <c r="AA154" s="44">
        <v>0</v>
      </c>
      <c r="AB154" s="44">
        <v>28706.588370360467</v>
      </c>
      <c r="AC154" s="44">
        <v>0</v>
      </c>
      <c r="AD154" s="44">
        <v>272654.95423295698</v>
      </c>
      <c r="AE154" s="44">
        <v>0</v>
      </c>
      <c r="AF154" s="44">
        <v>0</v>
      </c>
      <c r="AG154" s="44">
        <v>138243.54</v>
      </c>
      <c r="AH154" s="44">
        <v>0</v>
      </c>
      <c r="AI154" s="44">
        <v>0</v>
      </c>
      <c r="AJ154" s="44">
        <v>0</v>
      </c>
      <c r="AK154" s="44">
        <v>73229.642200000002</v>
      </c>
      <c r="AL154" s="44">
        <v>0</v>
      </c>
      <c r="AM154" s="44">
        <v>0</v>
      </c>
      <c r="AN154" s="44">
        <v>0</v>
      </c>
      <c r="AO154" s="44">
        <v>0</v>
      </c>
      <c r="AP154" s="44">
        <v>0</v>
      </c>
      <c r="AQ154" s="44">
        <v>0</v>
      </c>
      <c r="AR154" s="44">
        <v>0</v>
      </c>
      <c r="AS154" s="44">
        <v>0</v>
      </c>
      <c r="AT154" s="44">
        <v>3977132.8971999995</v>
      </c>
      <c r="AU154" s="44">
        <v>1173386.6428033169</v>
      </c>
      <c r="AV154" s="44">
        <v>211473.18220000001</v>
      </c>
      <c r="AW154" s="44">
        <v>907524.14919295651</v>
      </c>
      <c r="AX154" s="62">
        <v>5361992.7222033162</v>
      </c>
      <c r="AY154" s="62">
        <v>5288763.0800033165</v>
      </c>
      <c r="AZ154" s="62">
        <v>5995</v>
      </c>
      <c r="BA154" s="62">
        <v>4502245</v>
      </c>
      <c r="BB154" s="62">
        <v>0</v>
      </c>
      <c r="BC154" s="62">
        <v>0</v>
      </c>
      <c r="BD154" s="62">
        <v>5361992.7222033162</v>
      </c>
      <c r="BE154" s="44">
        <v>0</v>
      </c>
      <c r="BF154" s="44">
        <v>5361992.7222033162</v>
      </c>
      <c r="BG154" s="62">
        <v>4575474.6421999997</v>
      </c>
      <c r="BH154" s="62">
        <v>4364001.46</v>
      </c>
      <c r="BI154" s="44">
        <v>5150519.5400033165</v>
      </c>
      <c r="BJ154" s="44">
        <v>6858.2150998712605</v>
      </c>
      <c r="BK154" s="44">
        <v>6746.2998252673797</v>
      </c>
      <c r="BL154" s="45">
        <v>1.658913441479681E-2</v>
      </c>
      <c r="BM154" s="45">
        <v>0</v>
      </c>
      <c r="BN154" s="44">
        <v>0</v>
      </c>
      <c r="BO154" s="62">
        <v>5361992.7222033162</v>
      </c>
      <c r="BP154" s="62">
        <v>7042.2943808299824</v>
      </c>
      <c r="BQ154" s="62" t="s">
        <v>92</v>
      </c>
      <c r="BR154" s="62">
        <v>7139.8038910829773</v>
      </c>
      <c r="BS154" s="53">
        <v>1.692243501458579E-2</v>
      </c>
      <c r="BT154" s="44">
        <v>-14531.85</v>
      </c>
      <c r="BU154" s="44">
        <v>5347460.8722033165</v>
      </c>
      <c r="BV154" s="44">
        <v>0</v>
      </c>
      <c r="BW154" s="44">
        <v>5347460.8722033165</v>
      </c>
      <c r="BX154" s="44">
        <v>73229.642200000002</v>
      </c>
      <c r="BY154" s="44">
        <v>5274231.2300033169</v>
      </c>
    </row>
    <row r="155" spans="1:77">
      <c r="A155">
        <v>4063</v>
      </c>
      <c r="B155" s="60">
        <v>103486</v>
      </c>
      <c r="C155" s="60">
        <v>3304063</v>
      </c>
      <c r="D155" s="61" t="s">
        <v>688</v>
      </c>
      <c r="E155" s="52">
        <v>766</v>
      </c>
      <c r="F155" s="52">
        <v>0</v>
      </c>
      <c r="G155" s="52">
        <v>766</v>
      </c>
      <c r="H155" s="44">
        <v>0</v>
      </c>
      <c r="I155" s="44">
        <v>2323268.1392000001</v>
      </c>
      <c r="J155" s="44">
        <v>1732665.3805</v>
      </c>
      <c r="K155" s="44">
        <v>0</v>
      </c>
      <c r="L155" s="44">
        <v>153416.60879999981</v>
      </c>
      <c r="M155" s="44">
        <v>0</v>
      </c>
      <c r="N155" s="44">
        <v>423882.62400000042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4">
        <v>0</v>
      </c>
      <c r="U155" s="44">
        <v>11259.382200000005</v>
      </c>
      <c r="V155" s="44">
        <v>60511.653000000013</v>
      </c>
      <c r="W155" s="44">
        <v>60060.073500000231</v>
      </c>
      <c r="X155" s="44">
        <v>122558.67630000006</v>
      </c>
      <c r="Y155" s="44">
        <v>107676.62300000008</v>
      </c>
      <c r="Z155" s="44">
        <v>70175.450600000011</v>
      </c>
      <c r="AA155" s="44">
        <v>0</v>
      </c>
      <c r="AB155" s="44">
        <v>108158.30439999998</v>
      </c>
      <c r="AC155" s="44">
        <v>0</v>
      </c>
      <c r="AD155" s="44">
        <v>372046.28637281305</v>
      </c>
      <c r="AE155" s="44">
        <v>0</v>
      </c>
      <c r="AF155" s="44">
        <v>138.66540533337408</v>
      </c>
      <c r="AG155" s="44">
        <v>138243.54</v>
      </c>
      <c r="AH155" s="44">
        <v>0</v>
      </c>
      <c r="AI155" s="44">
        <v>0</v>
      </c>
      <c r="AJ155" s="44">
        <v>0</v>
      </c>
      <c r="AK155" s="44">
        <v>113419.3152</v>
      </c>
      <c r="AL155" s="44">
        <v>0</v>
      </c>
      <c r="AM155" s="44">
        <v>0</v>
      </c>
      <c r="AN155" s="44">
        <v>0</v>
      </c>
      <c r="AO155" s="44">
        <v>0</v>
      </c>
      <c r="AP155" s="44">
        <v>0</v>
      </c>
      <c r="AQ155" s="44">
        <v>0</v>
      </c>
      <c r="AR155" s="44">
        <v>0</v>
      </c>
      <c r="AS155" s="44">
        <v>0</v>
      </c>
      <c r="AT155" s="44">
        <v>4055933.5197000001</v>
      </c>
      <c r="AU155" s="44">
        <v>1489884.3475781467</v>
      </c>
      <c r="AV155" s="44">
        <v>251662.85519999999</v>
      </c>
      <c r="AW155" s="44">
        <v>1079613.5080578134</v>
      </c>
      <c r="AX155" s="62">
        <v>5797480.7224781467</v>
      </c>
      <c r="AY155" s="62">
        <v>5684061.4072781466</v>
      </c>
      <c r="AZ155" s="62">
        <v>5995</v>
      </c>
      <c r="BA155" s="62">
        <v>4592170</v>
      </c>
      <c r="BB155" s="62">
        <v>0</v>
      </c>
      <c r="BC155" s="62">
        <v>0</v>
      </c>
      <c r="BD155" s="62">
        <v>5797480.7224781467</v>
      </c>
      <c r="BE155" s="44">
        <v>0</v>
      </c>
      <c r="BF155" s="44">
        <v>5797480.7224781467</v>
      </c>
      <c r="BG155" s="62">
        <v>4705589.3152000001</v>
      </c>
      <c r="BH155" s="62">
        <v>4453926.46</v>
      </c>
      <c r="BI155" s="44">
        <v>5545817.8672781466</v>
      </c>
      <c r="BJ155" s="44">
        <v>7239.9711061072412</v>
      </c>
      <c r="BK155" s="44">
        <v>7574.6442484522204</v>
      </c>
      <c r="BL155" s="45">
        <v>-4.4183347939194012E-2</v>
      </c>
      <c r="BM155" s="45">
        <v>4.918334793919401E-2</v>
      </c>
      <c r="BN155" s="44">
        <v>285370.51450782601</v>
      </c>
      <c r="BO155" s="62">
        <v>6082851.2369859731</v>
      </c>
      <c r="BP155" s="62">
        <v>7792.9920649947426</v>
      </c>
      <c r="BQ155" s="62" t="s">
        <v>92</v>
      </c>
      <c r="BR155" s="62">
        <v>7941.0590561174586</v>
      </c>
      <c r="BS155" s="53">
        <v>1.0776542543030398E-2</v>
      </c>
      <c r="BT155" s="44">
        <v>-14822.1</v>
      </c>
      <c r="BU155" s="44">
        <v>6068029.1369859735</v>
      </c>
      <c r="BV155" s="44">
        <v>0</v>
      </c>
      <c r="BW155" s="44">
        <v>6068029.1369859735</v>
      </c>
      <c r="BX155" s="44">
        <v>113419.3152</v>
      </c>
      <c r="BY155" s="44">
        <v>5954609.8217859734</v>
      </c>
    </row>
    <row r="156" spans="1:77">
      <c r="A156">
        <v>4115</v>
      </c>
      <c r="B156" s="60">
        <v>103493</v>
      </c>
      <c r="C156" s="60">
        <v>3304115</v>
      </c>
      <c r="D156" s="61" t="s">
        <v>251</v>
      </c>
      <c r="E156" s="52">
        <v>640</v>
      </c>
      <c r="F156" s="52">
        <v>0</v>
      </c>
      <c r="G156" s="52">
        <v>640</v>
      </c>
      <c r="H156" s="44">
        <v>0</v>
      </c>
      <c r="I156" s="44">
        <v>1864662.064</v>
      </c>
      <c r="J156" s="44">
        <v>1533834.9270000001</v>
      </c>
      <c r="K156" s="44">
        <v>0</v>
      </c>
      <c r="L156" s="44">
        <v>144073.9307</v>
      </c>
      <c r="M156" s="44">
        <v>0</v>
      </c>
      <c r="N156" s="44">
        <v>378122.56799999997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4">
        <v>0</v>
      </c>
      <c r="U156" s="44">
        <v>2388.3537999999999</v>
      </c>
      <c r="V156" s="44">
        <v>36126.36</v>
      </c>
      <c r="W156" s="44">
        <v>149201.86680000002</v>
      </c>
      <c r="X156" s="44">
        <v>126020.78580000001</v>
      </c>
      <c r="Y156" s="44">
        <v>81685.713999999993</v>
      </c>
      <c r="Z156" s="44">
        <v>6638.2183000000005</v>
      </c>
      <c r="AA156" s="44">
        <v>0</v>
      </c>
      <c r="AB156" s="44">
        <v>63722.097777777773</v>
      </c>
      <c r="AC156" s="44">
        <v>0</v>
      </c>
      <c r="AD156" s="44">
        <v>276161.1976292436</v>
      </c>
      <c r="AE156" s="44">
        <v>0</v>
      </c>
      <c r="AF156" s="44">
        <v>0</v>
      </c>
      <c r="AG156" s="44">
        <v>138243.54</v>
      </c>
      <c r="AH156" s="44">
        <v>0</v>
      </c>
      <c r="AI156" s="44">
        <v>0</v>
      </c>
      <c r="AJ156" s="44">
        <v>0</v>
      </c>
      <c r="AK156" s="44">
        <v>80286.862299999993</v>
      </c>
      <c r="AL156" s="44">
        <v>0</v>
      </c>
      <c r="AM156" s="44">
        <v>0</v>
      </c>
      <c r="AN156" s="44">
        <v>0</v>
      </c>
      <c r="AO156" s="44">
        <v>0</v>
      </c>
      <c r="AP156" s="44">
        <v>0</v>
      </c>
      <c r="AQ156" s="44">
        <v>0</v>
      </c>
      <c r="AR156" s="44">
        <v>0</v>
      </c>
      <c r="AS156" s="44">
        <v>0</v>
      </c>
      <c r="AT156" s="44">
        <v>3398496.9910000004</v>
      </c>
      <c r="AU156" s="44">
        <v>1264141.0928070215</v>
      </c>
      <c r="AV156" s="44">
        <v>218530.40230000002</v>
      </c>
      <c r="AW156" s="44">
        <v>908214.94587924366</v>
      </c>
      <c r="AX156" s="62">
        <v>4881168.4861070216</v>
      </c>
      <c r="AY156" s="62">
        <v>4800881.6238070214</v>
      </c>
      <c r="AZ156" s="62">
        <v>5995</v>
      </c>
      <c r="BA156" s="62">
        <v>3836800</v>
      </c>
      <c r="BB156" s="62">
        <v>0</v>
      </c>
      <c r="BC156" s="62">
        <v>0</v>
      </c>
      <c r="BD156" s="62">
        <v>4881168.4861070216</v>
      </c>
      <c r="BE156" s="44">
        <v>0</v>
      </c>
      <c r="BF156" s="44">
        <v>4881168.4861070216</v>
      </c>
      <c r="BG156" s="62">
        <v>3917086.8623000002</v>
      </c>
      <c r="BH156" s="62">
        <v>3698556.46</v>
      </c>
      <c r="BI156" s="44">
        <v>4662638.0838070214</v>
      </c>
      <c r="BJ156" s="44">
        <v>7285.3720059484713</v>
      </c>
      <c r="BK156" s="44">
        <v>7399.4790989028215</v>
      </c>
      <c r="BL156" s="45">
        <v>-1.5420962939306067E-2</v>
      </c>
      <c r="BM156" s="45">
        <v>2.0420962939306068E-2</v>
      </c>
      <c r="BN156" s="44">
        <v>96706.872607273195</v>
      </c>
      <c r="BO156" s="62">
        <v>4977875.3587142946</v>
      </c>
      <c r="BP156" s="62">
        <v>7652.4820256473349</v>
      </c>
      <c r="BQ156" s="62" t="s">
        <v>92</v>
      </c>
      <c r="BR156" s="62">
        <v>7777.9302479910857</v>
      </c>
      <c r="BS156" s="53">
        <v>-1.3900646557291063E-3</v>
      </c>
      <c r="BT156" s="44">
        <v>-12384</v>
      </c>
      <c r="BU156" s="44">
        <v>4965491.3587142946</v>
      </c>
      <c r="BV156" s="44">
        <v>0</v>
      </c>
      <c r="BW156" s="44">
        <v>4965491.3587142946</v>
      </c>
      <c r="BX156" s="44">
        <v>80286.862299999993</v>
      </c>
      <c r="BY156" s="44">
        <v>4885204.4964142945</v>
      </c>
    </row>
    <row r="157" spans="1:77">
      <c r="A157">
        <v>4173</v>
      </c>
      <c r="B157" s="60">
        <v>103497</v>
      </c>
      <c r="C157" s="60">
        <v>3304173</v>
      </c>
      <c r="D157" s="61" t="s">
        <v>342</v>
      </c>
      <c r="E157" s="52">
        <v>911</v>
      </c>
      <c r="F157" s="52">
        <v>0</v>
      </c>
      <c r="G157" s="52">
        <v>911</v>
      </c>
      <c r="H157" s="44">
        <v>0</v>
      </c>
      <c r="I157" s="44">
        <v>2766755.3328</v>
      </c>
      <c r="J157" s="44">
        <v>2056474.9761999999</v>
      </c>
      <c r="K157" s="44">
        <v>0</v>
      </c>
      <c r="L157" s="44">
        <v>108178.3780000002</v>
      </c>
      <c r="M157" s="44">
        <v>0</v>
      </c>
      <c r="N157" s="44">
        <v>358855.17600000009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4">
        <v>0</v>
      </c>
      <c r="U157" s="44">
        <v>9916.3789159515945</v>
      </c>
      <c r="V157" s="44">
        <v>48877.892019802057</v>
      </c>
      <c r="W157" s="44">
        <v>12038.443775247524</v>
      </c>
      <c r="X157" s="44">
        <v>87437.117946534898</v>
      </c>
      <c r="Y157" s="44">
        <v>46142.339215401531</v>
      </c>
      <c r="Z157" s="44">
        <v>18057.664710781079</v>
      </c>
      <c r="AA157" s="44">
        <v>0</v>
      </c>
      <c r="AB157" s="44">
        <v>87480.981499999936</v>
      </c>
      <c r="AC157" s="44">
        <v>0</v>
      </c>
      <c r="AD157" s="44">
        <v>307104.87779869238</v>
      </c>
      <c r="AE157" s="44">
        <v>0</v>
      </c>
      <c r="AF157" s="44">
        <v>0</v>
      </c>
      <c r="AG157" s="44">
        <v>138243.54</v>
      </c>
      <c r="AH157" s="44">
        <v>0</v>
      </c>
      <c r="AI157" s="44">
        <v>0</v>
      </c>
      <c r="AJ157" s="44">
        <v>0</v>
      </c>
      <c r="AK157" s="44">
        <v>76319.539199999999</v>
      </c>
      <c r="AL157" s="44">
        <v>0</v>
      </c>
      <c r="AM157" s="44">
        <v>0</v>
      </c>
      <c r="AN157" s="44">
        <v>0</v>
      </c>
      <c r="AO157" s="44">
        <v>0</v>
      </c>
      <c r="AP157" s="44">
        <v>0</v>
      </c>
      <c r="AQ157" s="44">
        <v>0</v>
      </c>
      <c r="AR157" s="44">
        <v>0</v>
      </c>
      <c r="AS157" s="44">
        <v>0</v>
      </c>
      <c r="AT157" s="44">
        <v>4823230.3090000004</v>
      </c>
      <c r="AU157" s="44">
        <v>1084089.2498824112</v>
      </c>
      <c r="AV157" s="44">
        <v>214563.07920000001</v>
      </c>
      <c r="AW157" s="44">
        <v>893018.08854055195</v>
      </c>
      <c r="AX157" s="62">
        <v>6121882.6380824111</v>
      </c>
      <c r="AY157" s="62">
        <v>6045563.0988824107</v>
      </c>
      <c r="AZ157" s="62">
        <v>5995</v>
      </c>
      <c r="BA157" s="62">
        <v>5461445</v>
      </c>
      <c r="BB157" s="62">
        <v>0</v>
      </c>
      <c r="BC157" s="62">
        <v>0</v>
      </c>
      <c r="BD157" s="62">
        <v>6121882.6380824111</v>
      </c>
      <c r="BE157" s="44">
        <v>0</v>
      </c>
      <c r="BF157" s="44">
        <v>6121882.6380824121</v>
      </c>
      <c r="BG157" s="62">
        <v>5537764.5392000005</v>
      </c>
      <c r="BH157" s="62">
        <v>5323201.4600000009</v>
      </c>
      <c r="BI157" s="44">
        <v>5907319.5588824116</v>
      </c>
      <c r="BJ157" s="44">
        <v>6484.4342029444697</v>
      </c>
      <c r="BK157" s="44">
        <v>6829.5864168687976</v>
      </c>
      <c r="BL157" s="45">
        <v>-5.0537791435190889E-2</v>
      </c>
      <c r="BM157" s="45">
        <v>5.5537791435190886E-2</v>
      </c>
      <c r="BN157" s="44">
        <v>345542.43301390012</v>
      </c>
      <c r="BO157" s="62">
        <v>6467425.0710963113</v>
      </c>
      <c r="BP157" s="62">
        <v>7015.4835695898046</v>
      </c>
      <c r="BQ157" s="62" t="s">
        <v>92</v>
      </c>
      <c r="BR157" s="62">
        <v>7099.2591340244908</v>
      </c>
      <c r="BS157" s="53">
        <v>4.4303318868694763E-3</v>
      </c>
      <c r="BT157" s="44">
        <v>-17627.850000000002</v>
      </c>
      <c r="BU157" s="44">
        <v>6449797.2210963117</v>
      </c>
      <c r="BV157" s="44">
        <v>0</v>
      </c>
      <c r="BW157" s="44">
        <v>6449797.2210963117</v>
      </c>
      <c r="BX157" s="44">
        <v>76319.539199999999</v>
      </c>
      <c r="BY157" s="44">
        <v>6373477.6818963122</v>
      </c>
    </row>
    <row r="158" spans="1:77">
      <c r="A158">
        <v>4177</v>
      </c>
      <c r="B158" s="60">
        <v>103498</v>
      </c>
      <c r="C158" s="60">
        <v>3304177</v>
      </c>
      <c r="D158" s="61" t="s">
        <v>875</v>
      </c>
      <c r="E158" s="52">
        <v>821</v>
      </c>
      <c r="F158" s="52">
        <v>0</v>
      </c>
      <c r="G158" s="52">
        <v>821</v>
      </c>
      <c r="H158" s="44">
        <v>0</v>
      </c>
      <c r="I158" s="44">
        <v>2519813.6</v>
      </c>
      <c r="J158" s="44">
        <v>1823559.3021</v>
      </c>
      <c r="K158" s="44">
        <v>0</v>
      </c>
      <c r="L158" s="44">
        <v>195212.80029999983</v>
      </c>
      <c r="M158" s="44">
        <v>0</v>
      </c>
      <c r="N158" s="44">
        <v>512994.31200000033</v>
      </c>
      <c r="O158" s="44">
        <v>0</v>
      </c>
      <c r="P158" s="44">
        <v>0</v>
      </c>
      <c r="Q158" s="44">
        <v>0</v>
      </c>
      <c r="R158" s="44">
        <v>0</v>
      </c>
      <c r="S158" s="44">
        <v>0</v>
      </c>
      <c r="T158" s="44">
        <v>0</v>
      </c>
      <c r="U158" s="44">
        <v>7847.4482000000071</v>
      </c>
      <c r="V158" s="44">
        <v>68640.084000000075</v>
      </c>
      <c r="W158" s="44">
        <v>46151.424899999998</v>
      </c>
      <c r="X158" s="44">
        <v>97631.487899999993</v>
      </c>
      <c r="Y158" s="44">
        <v>146291.68779999975</v>
      </c>
      <c r="Z158" s="44">
        <v>91038.42239999969</v>
      </c>
      <c r="AA158" s="44">
        <v>0</v>
      </c>
      <c r="AB158" s="44">
        <v>103512.6957371951</v>
      </c>
      <c r="AC158" s="44">
        <v>0</v>
      </c>
      <c r="AD158" s="44">
        <v>299664.60327802238</v>
      </c>
      <c r="AE158" s="44">
        <v>0</v>
      </c>
      <c r="AF158" s="44">
        <v>0</v>
      </c>
      <c r="AG158" s="44">
        <v>138243.54</v>
      </c>
      <c r="AH158" s="44">
        <v>0</v>
      </c>
      <c r="AI158" s="44">
        <v>0</v>
      </c>
      <c r="AJ158" s="44">
        <v>0</v>
      </c>
      <c r="AK158" s="44">
        <v>104939.3664</v>
      </c>
      <c r="AL158" s="44">
        <v>0</v>
      </c>
      <c r="AM158" s="44">
        <v>0</v>
      </c>
      <c r="AN158" s="44">
        <v>0</v>
      </c>
      <c r="AO158" s="44">
        <v>0</v>
      </c>
      <c r="AP158" s="44">
        <v>0</v>
      </c>
      <c r="AQ158" s="44">
        <v>0</v>
      </c>
      <c r="AR158" s="44">
        <v>0</v>
      </c>
      <c r="AS158" s="44">
        <v>0</v>
      </c>
      <c r="AT158" s="44">
        <v>4343372.9021000005</v>
      </c>
      <c r="AU158" s="44">
        <v>1568984.966515217</v>
      </c>
      <c r="AV158" s="44">
        <v>243182.90640000001</v>
      </c>
      <c r="AW158" s="44">
        <v>1099737.0821330221</v>
      </c>
      <c r="AX158" s="62">
        <v>6155540.7750152173</v>
      </c>
      <c r="AY158" s="62">
        <v>6050601.4086152175</v>
      </c>
      <c r="AZ158" s="62">
        <v>5995</v>
      </c>
      <c r="BA158" s="62">
        <v>4921895</v>
      </c>
      <c r="BB158" s="62">
        <v>0</v>
      </c>
      <c r="BC158" s="62">
        <v>0</v>
      </c>
      <c r="BD158" s="62">
        <v>6155540.7750152173</v>
      </c>
      <c r="BE158" s="44">
        <v>0</v>
      </c>
      <c r="BF158" s="44">
        <v>6155540.7750152173</v>
      </c>
      <c r="BG158" s="62">
        <v>5026834.3663999997</v>
      </c>
      <c r="BH158" s="62">
        <v>4783651.46</v>
      </c>
      <c r="BI158" s="44">
        <v>5912357.8686152175</v>
      </c>
      <c r="BJ158" s="44">
        <v>7201.4103150002647</v>
      </c>
      <c r="BK158" s="44">
        <v>7048.5262419942073</v>
      </c>
      <c r="BL158" s="45">
        <v>2.1690218317581608E-2</v>
      </c>
      <c r="BM158" s="45">
        <v>0</v>
      </c>
      <c r="BN158" s="44">
        <v>0</v>
      </c>
      <c r="BO158" s="62">
        <v>6155540.7750152173</v>
      </c>
      <c r="BP158" s="62">
        <v>7369.7946511756609</v>
      </c>
      <c r="BQ158" s="62" t="s">
        <v>92</v>
      </c>
      <c r="BR158" s="62">
        <v>7497.6136114679866</v>
      </c>
      <c r="BS158" s="53">
        <v>2.5372930759284262E-2</v>
      </c>
      <c r="BT158" s="44">
        <v>-15886.35</v>
      </c>
      <c r="BU158" s="44">
        <v>6139654.4250152176</v>
      </c>
      <c r="BV158" s="44">
        <v>0</v>
      </c>
      <c r="BW158" s="44">
        <v>6139654.4250152176</v>
      </c>
      <c r="BX158" s="44">
        <v>104939.3664</v>
      </c>
      <c r="BY158" s="44">
        <v>6034715.0586152179</v>
      </c>
    </row>
    <row r="159" spans="1:77">
      <c r="A159">
        <v>4193</v>
      </c>
      <c r="B159" s="60">
        <v>103501</v>
      </c>
      <c r="C159" s="60">
        <v>3304193</v>
      </c>
      <c r="D159" s="61" t="s">
        <v>399</v>
      </c>
      <c r="E159" s="52">
        <v>676</v>
      </c>
      <c r="F159" s="52">
        <v>0</v>
      </c>
      <c r="G159" s="52">
        <v>676</v>
      </c>
      <c r="H159" s="44">
        <v>0</v>
      </c>
      <c r="I159" s="44">
        <v>2056167.8976</v>
      </c>
      <c r="J159" s="44">
        <v>1522473.1868</v>
      </c>
      <c r="K159" s="44">
        <v>0</v>
      </c>
      <c r="L159" s="44">
        <v>104736.33870000009</v>
      </c>
      <c r="M159" s="44">
        <v>0</v>
      </c>
      <c r="N159" s="44">
        <v>280581.39600000018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4">
        <v>0</v>
      </c>
      <c r="U159" s="44">
        <v>6150.5796906666737</v>
      </c>
      <c r="V159" s="44">
        <v>73264.258079999985</v>
      </c>
      <c r="W159" s="44">
        <v>15195.549824000018</v>
      </c>
      <c r="X159" s="44">
        <v>17336.192755555541</v>
      </c>
      <c r="Y159" s="44">
        <v>102630.26111288868</v>
      </c>
      <c r="Z159" s="44">
        <v>51284.977952000001</v>
      </c>
      <c r="AA159" s="44">
        <v>0</v>
      </c>
      <c r="AB159" s="44">
        <v>52488.588900000024</v>
      </c>
      <c r="AC159" s="44">
        <v>0</v>
      </c>
      <c r="AD159" s="44">
        <v>286973.11840797315</v>
      </c>
      <c r="AE159" s="44">
        <v>0</v>
      </c>
      <c r="AF159" s="44">
        <v>0</v>
      </c>
      <c r="AG159" s="44">
        <v>138243.54</v>
      </c>
      <c r="AH159" s="44">
        <v>0</v>
      </c>
      <c r="AI159" s="44">
        <v>0</v>
      </c>
      <c r="AJ159" s="44">
        <v>0</v>
      </c>
      <c r="AK159" s="44">
        <v>118189.2864</v>
      </c>
      <c r="AL159" s="44">
        <v>0</v>
      </c>
      <c r="AM159" s="44">
        <v>0</v>
      </c>
      <c r="AN159" s="44">
        <v>0</v>
      </c>
      <c r="AO159" s="44">
        <v>0</v>
      </c>
      <c r="AP159" s="44">
        <v>0</v>
      </c>
      <c r="AQ159" s="44">
        <v>0</v>
      </c>
      <c r="AR159" s="44">
        <v>0</v>
      </c>
      <c r="AS159" s="44">
        <v>0</v>
      </c>
      <c r="AT159" s="44">
        <v>3578641.0844000001</v>
      </c>
      <c r="AU159" s="44">
        <v>990641.26142308442</v>
      </c>
      <c r="AV159" s="44">
        <v>256432.82640000002</v>
      </c>
      <c r="AW159" s="44">
        <v>791494.94968552864</v>
      </c>
      <c r="AX159" s="62">
        <v>4825715.1722230846</v>
      </c>
      <c r="AY159" s="62">
        <v>4707525.885823085</v>
      </c>
      <c r="AZ159" s="62">
        <v>5995</v>
      </c>
      <c r="BA159" s="62">
        <v>4052620</v>
      </c>
      <c r="BB159" s="62">
        <v>0</v>
      </c>
      <c r="BC159" s="62">
        <v>0</v>
      </c>
      <c r="BD159" s="62">
        <v>4825715.1722230846</v>
      </c>
      <c r="BE159" s="44">
        <v>0</v>
      </c>
      <c r="BF159" s="44">
        <v>4825715.1722230846</v>
      </c>
      <c r="BG159" s="62">
        <v>4170809.2864000001</v>
      </c>
      <c r="BH159" s="62">
        <v>3914376.46</v>
      </c>
      <c r="BI159" s="44">
        <v>4569282.3458230849</v>
      </c>
      <c r="BJ159" s="44">
        <v>6759.2934109808948</v>
      </c>
      <c r="BK159" s="44">
        <v>6665.4936136701344</v>
      </c>
      <c r="BL159" s="45">
        <v>1.4072445755313327E-2</v>
      </c>
      <c r="BM159" s="45">
        <v>0</v>
      </c>
      <c r="BN159" s="44">
        <v>0</v>
      </c>
      <c r="BO159" s="62">
        <v>4825715.1722230846</v>
      </c>
      <c r="BP159" s="62">
        <v>6963.7956890874038</v>
      </c>
      <c r="BQ159" s="62" t="s">
        <v>92</v>
      </c>
      <c r="BR159" s="62">
        <v>7138.6319115726101</v>
      </c>
      <c r="BS159" s="53">
        <v>1.6566989945562494E-2</v>
      </c>
      <c r="BT159" s="44">
        <v>-13080.6</v>
      </c>
      <c r="BU159" s="44">
        <v>4812634.572223085</v>
      </c>
      <c r="BV159" s="44">
        <v>0</v>
      </c>
      <c r="BW159" s="44">
        <v>4812634.572223085</v>
      </c>
      <c r="BX159" s="44">
        <v>118189.2864</v>
      </c>
      <c r="BY159" s="44">
        <v>4694445.2858230853</v>
      </c>
    </row>
    <row r="160" spans="1:77">
      <c r="A160">
        <v>4201</v>
      </c>
      <c r="B160" s="60">
        <v>103503</v>
      </c>
      <c r="C160" s="60">
        <v>3304201</v>
      </c>
      <c r="D160" s="61" t="s">
        <v>303</v>
      </c>
      <c r="E160" s="52">
        <v>1216</v>
      </c>
      <c r="F160" s="52">
        <v>0</v>
      </c>
      <c r="G160" s="52">
        <v>1216</v>
      </c>
      <c r="H160" s="44">
        <v>0</v>
      </c>
      <c r="I160" s="44">
        <v>3689007.1104000001</v>
      </c>
      <c r="J160" s="44">
        <v>2749541.1283999998</v>
      </c>
      <c r="K160" s="44">
        <v>0</v>
      </c>
      <c r="L160" s="44">
        <v>234550.39229999983</v>
      </c>
      <c r="M160" s="44">
        <v>0</v>
      </c>
      <c r="N160" s="44">
        <v>690013.47600000014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0</v>
      </c>
      <c r="U160" s="44">
        <v>30707.405999999981</v>
      </c>
      <c r="V160" s="44">
        <v>115604.35200000017</v>
      </c>
      <c r="W160" s="44">
        <v>37300.466700000034</v>
      </c>
      <c r="X160" s="44">
        <v>136407.11429999967</v>
      </c>
      <c r="Y160" s="44">
        <v>204214.28500000029</v>
      </c>
      <c r="Z160" s="44">
        <v>77761.985800000009</v>
      </c>
      <c r="AA160" s="44">
        <v>0</v>
      </c>
      <c r="AB160" s="44">
        <v>68506.897718616179</v>
      </c>
      <c r="AC160" s="44">
        <v>0</v>
      </c>
      <c r="AD160" s="44">
        <v>610183.3083123581</v>
      </c>
      <c r="AE160" s="44">
        <v>0</v>
      </c>
      <c r="AF160" s="44">
        <v>0</v>
      </c>
      <c r="AG160" s="44">
        <v>138243.54</v>
      </c>
      <c r="AH160" s="44">
        <v>0</v>
      </c>
      <c r="AI160" s="44">
        <v>0</v>
      </c>
      <c r="AJ160" s="44">
        <v>0</v>
      </c>
      <c r="AK160" s="44">
        <v>176330.39679999999</v>
      </c>
      <c r="AL160" s="44">
        <v>0</v>
      </c>
      <c r="AM160" s="44">
        <v>0</v>
      </c>
      <c r="AN160" s="44">
        <v>0</v>
      </c>
      <c r="AO160" s="44">
        <v>0</v>
      </c>
      <c r="AP160" s="44">
        <v>0</v>
      </c>
      <c r="AQ160" s="44">
        <v>0</v>
      </c>
      <c r="AR160" s="44">
        <v>0</v>
      </c>
      <c r="AS160" s="44">
        <v>0</v>
      </c>
      <c r="AT160" s="44">
        <v>6438548.2388000004</v>
      </c>
      <c r="AU160" s="44">
        <v>2205249.6841309741</v>
      </c>
      <c r="AV160" s="44">
        <v>314573.93680000002</v>
      </c>
      <c r="AW160" s="44">
        <v>1695390.4593023583</v>
      </c>
      <c r="AX160" s="62">
        <v>8958371.8597309738</v>
      </c>
      <c r="AY160" s="62">
        <v>8782041.4629309736</v>
      </c>
      <c r="AZ160" s="62">
        <v>5995</v>
      </c>
      <c r="BA160" s="62">
        <v>7289920</v>
      </c>
      <c r="BB160" s="62">
        <v>0</v>
      </c>
      <c r="BC160" s="62">
        <v>0</v>
      </c>
      <c r="BD160" s="62">
        <v>8958371.8597309738</v>
      </c>
      <c r="BE160" s="44">
        <v>0</v>
      </c>
      <c r="BF160" s="44">
        <v>8958371.859730972</v>
      </c>
      <c r="BG160" s="62">
        <v>7466250.3968000002</v>
      </c>
      <c r="BH160" s="62">
        <v>7151676.46</v>
      </c>
      <c r="BI160" s="44">
        <v>8643797.9229309745</v>
      </c>
      <c r="BJ160" s="44">
        <v>7108.3864497787617</v>
      </c>
      <c r="BK160" s="44">
        <v>6993.9995968163257</v>
      </c>
      <c r="BL160" s="45">
        <v>1.6354998506792166E-2</v>
      </c>
      <c r="BM160" s="45">
        <v>0</v>
      </c>
      <c r="BN160" s="44">
        <v>0</v>
      </c>
      <c r="BO160" s="62">
        <v>8958371.8597309738</v>
      </c>
      <c r="BP160" s="62">
        <v>7222.0735714892871</v>
      </c>
      <c r="BQ160" s="62" t="s">
        <v>92</v>
      </c>
      <c r="BR160" s="62">
        <v>7367.0821214892876</v>
      </c>
      <c r="BS160" s="53">
        <v>2.3131617936318127E-2</v>
      </c>
      <c r="BT160" s="44">
        <v>-23529.600000000002</v>
      </c>
      <c r="BU160" s="44">
        <v>8934842.2597309742</v>
      </c>
      <c r="BV160" s="44">
        <v>0</v>
      </c>
      <c r="BW160" s="44">
        <v>8934842.2597309742</v>
      </c>
      <c r="BX160" s="44">
        <v>176330.39679999999</v>
      </c>
      <c r="BY160" s="44">
        <v>8758511.862930974</v>
      </c>
    </row>
    <row r="161" spans="1:77">
      <c r="A161">
        <v>4223</v>
      </c>
      <c r="B161" s="60">
        <v>103509</v>
      </c>
      <c r="C161" s="60">
        <v>3304223</v>
      </c>
      <c r="D161" s="61" t="s">
        <v>309</v>
      </c>
      <c r="E161" s="52">
        <v>1039</v>
      </c>
      <c r="F161" s="52">
        <v>0</v>
      </c>
      <c r="G161" s="52">
        <v>1039</v>
      </c>
      <c r="H161" s="44">
        <v>0</v>
      </c>
      <c r="I161" s="44">
        <v>2897785.64</v>
      </c>
      <c r="J161" s="44">
        <v>2635923.7264</v>
      </c>
      <c r="K161" s="44">
        <v>0</v>
      </c>
      <c r="L161" s="44">
        <v>259628.10719999977</v>
      </c>
      <c r="M161" s="44">
        <v>0</v>
      </c>
      <c r="N161" s="44">
        <v>682788.20400000049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4">
        <v>0</v>
      </c>
      <c r="U161" s="44">
        <v>5800.2877999999992</v>
      </c>
      <c r="V161" s="44">
        <v>19869.498000000021</v>
      </c>
      <c r="W161" s="44">
        <v>60692.284799999987</v>
      </c>
      <c r="X161" s="44">
        <v>175182.74070000029</v>
      </c>
      <c r="Y161" s="44">
        <v>413626.75179999997</v>
      </c>
      <c r="Z161" s="44">
        <v>59743.964700000019</v>
      </c>
      <c r="AA161" s="44">
        <v>0</v>
      </c>
      <c r="AB161" s="44">
        <v>42986.582133814998</v>
      </c>
      <c r="AC161" s="44">
        <v>0</v>
      </c>
      <c r="AD161" s="44">
        <v>480297.90339627612</v>
      </c>
      <c r="AE161" s="44">
        <v>0</v>
      </c>
      <c r="AF161" s="44">
        <v>0</v>
      </c>
      <c r="AG161" s="44">
        <v>138243.54</v>
      </c>
      <c r="AH161" s="44">
        <v>0</v>
      </c>
      <c r="AI161" s="44">
        <v>0</v>
      </c>
      <c r="AJ161" s="44">
        <v>0</v>
      </c>
      <c r="AK161" s="44">
        <v>174898.94399999999</v>
      </c>
      <c r="AL161" s="44">
        <v>0</v>
      </c>
      <c r="AM161" s="44">
        <v>0</v>
      </c>
      <c r="AN161" s="44">
        <v>0</v>
      </c>
      <c r="AO161" s="44">
        <v>0</v>
      </c>
      <c r="AP161" s="44">
        <v>0</v>
      </c>
      <c r="AQ161" s="44">
        <v>0</v>
      </c>
      <c r="AR161" s="44">
        <v>0</v>
      </c>
      <c r="AS161" s="44">
        <v>0</v>
      </c>
      <c r="AT161" s="44">
        <v>5533709.3663999997</v>
      </c>
      <c r="AU161" s="44">
        <v>2200616.3245300916</v>
      </c>
      <c r="AV161" s="44">
        <v>313142.484</v>
      </c>
      <c r="AW161" s="44">
        <v>1595649.2912162764</v>
      </c>
      <c r="AX161" s="62">
        <v>8047468.174930091</v>
      </c>
      <c r="AY161" s="62">
        <v>7872569.2309300909</v>
      </c>
      <c r="AZ161" s="62">
        <v>5995</v>
      </c>
      <c r="BA161" s="62">
        <v>6228805</v>
      </c>
      <c r="BB161" s="62">
        <v>0</v>
      </c>
      <c r="BC161" s="62">
        <v>0</v>
      </c>
      <c r="BD161" s="62">
        <v>8047468.174930091</v>
      </c>
      <c r="BE161" s="44">
        <v>0</v>
      </c>
      <c r="BF161" s="44">
        <v>8047468.1749300901</v>
      </c>
      <c r="BG161" s="62">
        <v>6403703.9440000001</v>
      </c>
      <c r="BH161" s="62">
        <v>6090561.46</v>
      </c>
      <c r="BI161" s="44">
        <v>7734325.6909300908</v>
      </c>
      <c r="BJ161" s="44">
        <v>7444.0093271704436</v>
      </c>
      <c r="BK161" s="44">
        <v>7351.3589043062202</v>
      </c>
      <c r="BL161" s="45">
        <v>1.2603169573172571E-2</v>
      </c>
      <c r="BM161" s="45">
        <v>0</v>
      </c>
      <c r="BN161" s="44">
        <v>0</v>
      </c>
      <c r="BO161" s="62">
        <v>8047468.174930091</v>
      </c>
      <c r="BP161" s="62">
        <v>7577.0637448797797</v>
      </c>
      <c r="BQ161" s="62" t="s">
        <v>92</v>
      </c>
      <c r="BR161" s="62">
        <v>7745.3976659577393</v>
      </c>
      <c r="BS161" s="53">
        <v>1.2804982919716101E-2</v>
      </c>
      <c r="BT161" s="44">
        <v>-20104.650000000001</v>
      </c>
      <c r="BU161" s="44">
        <v>8027363.5249300906</v>
      </c>
      <c r="BV161" s="44">
        <v>0</v>
      </c>
      <c r="BW161" s="44">
        <v>8027363.5249300906</v>
      </c>
      <c r="BX161" s="44">
        <v>174898.94399999999</v>
      </c>
      <c r="BY161" s="44">
        <v>7852464.5809300905</v>
      </c>
    </row>
    <row r="162" spans="1:77">
      <c r="A162">
        <v>4237</v>
      </c>
      <c r="B162" s="60">
        <v>103514</v>
      </c>
      <c r="C162" s="60">
        <v>3304237</v>
      </c>
      <c r="D162" s="61" t="s">
        <v>375</v>
      </c>
      <c r="E162" s="52">
        <v>1633</v>
      </c>
      <c r="F162" s="52">
        <v>0</v>
      </c>
      <c r="G162" s="52">
        <v>1633</v>
      </c>
      <c r="H162" s="44">
        <v>0</v>
      </c>
      <c r="I162" s="44">
        <v>4908596.8927999996</v>
      </c>
      <c r="J162" s="44">
        <v>3743693.3958999999</v>
      </c>
      <c r="K162" s="44">
        <v>0</v>
      </c>
      <c r="L162" s="44">
        <v>276838.30369999993</v>
      </c>
      <c r="M162" s="44">
        <v>0</v>
      </c>
      <c r="N162" s="44">
        <v>769491.46799999999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4">
        <v>0</v>
      </c>
      <c r="U162" s="44">
        <v>30366.212599999995</v>
      </c>
      <c r="V162" s="44">
        <v>185599.1744999997</v>
      </c>
      <c r="W162" s="44">
        <v>106211.49840000008</v>
      </c>
      <c r="X162" s="44">
        <v>123943.52010000055</v>
      </c>
      <c r="Y162" s="44">
        <v>220551.42779999983</v>
      </c>
      <c r="Z162" s="44">
        <v>97676.640700000033</v>
      </c>
      <c r="AA162" s="44">
        <v>0</v>
      </c>
      <c r="AB162" s="44">
        <v>84351.509222855311</v>
      </c>
      <c r="AC162" s="44">
        <v>0</v>
      </c>
      <c r="AD162" s="44">
        <v>515021.76346899307</v>
      </c>
      <c r="AE162" s="44">
        <v>0</v>
      </c>
      <c r="AF162" s="44">
        <v>0</v>
      </c>
      <c r="AG162" s="44">
        <v>138243.54</v>
      </c>
      <c r="AH162" s="44">
        <v>0</v>
      </c>
      <c r="AI162" s="44">
        <v>0</v>
      </c>
      <c r="AJ162" s="44">
        <v>0</v>
      </c>
      <c r="AK162" s="44">
        <v>200868.78719999999</v>
      </c>
      <c r="AL162" s="44">
        <v>0</v>
      </c>
      <c r="AM162" s="44">
        <v>0</v>
      </c>
      <c r="AN162" s="44">
        <v>0</v>
      </c>
      <c r="AO162" s="44">
        <v>0</v>
      </c>
      <c r="AP162" s="44">
        <v>0</v>
      </c>
      <c r="AQ162" s="44">
        <v>0</v>
      </c>
      <c r="AR162" s="44">
        <v>0</v>
      </c>
      <c r="AS162" s="44">
        <v>0</v>
      </c>
      <c r="AT162" s="44">
        <v>8652290.2886999995</v>
      </c>
      <c r="AU162" s="44">
        <v>2410051.5184918488</v>
      </c>
      <c r="AV162" s="44">
        <v>339112.3272</v>
      </c>
      <c r="AW162" s="44">
        <v>1852975.400803993</v>
      </c>
      <c r="AX162" s="62">
        <v>11401454.134391848</v>
      </c>
      <c r="AY162" s="62">
        <v>11200585.347191848</v>
      </c>
      <c r="AZ162" s="62">
        <v>5995</v>
      </c>
      <c r="BA162" s="62">
        <v>9789835</v>
      </c>
      <c r="BB162" s="62">
        <v>0</v>
      </c>
      <c r="BC162" s="62">
        <v>0</v>
      </c>
      <c r="BD162" s="62">
        <v>11401454.134391848</v>
      </c>
      <c r="BE162" s="44">
        <v>0</v>
      </c>
      <c r="BF162" s="44">
        <v>11401454.13439185</v>
      </c>
      <c r="BG162" s="62">
        <v>9990703.7872000001</v>
      </c>
      <c r="BH162" s="62">
        <v>9651591.4600000009</v>
      </c>
      <c r="BI162" s="44">
        <v>11062341.807191849</v>
      </c>
      <c r="BJ162" s="44">
        <v>6774.2448298786585</v>
      </c>
      <c r="BK162" s="44">
        <v>6653.3993764927718</v>
      </c>
      <c r="BL162" s="45">
        <v>1.8162964004963783E-2</v>
      </c>
      <c r="BM162" s="45">
        <v>0</v>
      </c>
      <c r="BN162" s="44">
        <v>0</v>
      </c>
      <c r="BO162" s="62">
        <v>11401454.134391848</v>
      </c>
      <c r="BP162" s="62">
        <v>6858.9010086906601</v>
      </c>
      <c r="BQ162" s="62" t="s">
        <v>92</v>
      </c>
      <c r="BR162" s="62">
        <v>6981.907002077066</v>
      </c>
      <c r="BS162" s="53">
        <v>1.9700297364232844E-2</v>
      </c>
      <c r="BT162" s="44">
        <v>-31598.550000000003</v>
      </c>
      <c r="BU162" s="44">
        <v>11369855.584391847</v>
      </c>
      <c r="BV162" s="44">
        <v>0</v>
      </c>
      <c r="BW162" s="44">
        <v>11369855.584391847</v>
      </c>
      <c r="BX162" s="44">
        <v>200868.78719999999</v>
      </c>
      <c r="BY162" s="44">
        <v>11168986.797191847</v>
      </c>
    </row>
    <row r="163" spans="1:77">
      <c r="A163">
        <v>4245</v>
      </c>
      <c r="B163" s="60">
        <v>103519</v>
      </c>
      <c r="C163" s="60">
        <v>3304245</v>
      </c>
      <c r="D163" s="61" t="s">
        <v>336</v>
      </c>
      <c r="E163" s="52">
        <v>1263</v>
      </c>
      <c r="F163" s="52">
        <v>0</v>
      </c>
      <c r="G163" s="52">
        <v>1263</v>
      </c>
      <c r="H163" s="44">
        <v>0</v>
      </c>
      <c r="I163" s="44">
        <v>3835156.2991999998</v>
      </c>
      <c r="J163" s="44">
        <v>2851796.7902000002</v>
      </c>
      <c r="K163" s="44">
        <v>0</v>
      </c>
      <c r="L163" s="44">
        <v>325518.57380000013</v>
      </c>
      <c r="M163" s="44">
        <v>0</v>
      </c>
      <c r="N163" s="44">
        <v>861011.58000000042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44">
        <v>29024.419538034839</v>
      </c>
      <c r="V163" s="44">
        <v>150495.130372821</v>
      </c>
      <c r="W163" s="44">
        <v>137298.56038217136</v>
      </c>
      <c r="X163" s="44">
        <v>188487.99511759137</v>
      </c>
      <c r="Y163" s="44">
        <v>153839.46660332795</v>
      </c>
      <c r="Z163" s="44">
        <v>56944.100381933466</v>
      </c>
      <c r="AA163" s="44">
        <v>0</v>
      </c>
      <c r="AB163" s="44">
        <v>154142.69658615516</v>
      </c>
      <c r="AC163" s="44">
        <v>0</v>
      </c>
      <c r="AD163" s="44">
        <v>659682.37779646961</v>
      </c>
      <c r="AE163" s="44">
        <v>0</v>
      </c>
      <c r="AF163" s="44">
        <v>0</v>
      </c>
      <c r="AG163" s="44">
        <v>138243.54</v>
      </c>
      <c r="AH163" s="44">
        <v>0</v>
      </c>
      <c r="AI163" s="44">
        <v>0</v>
      </c>
      <c r="AJ163" s="44">
        <v>0</v>
      </c>
      <c r="AK163" s="44">
        <v>22895.859700000001</v>
      </c>
      <c r="AL163" s="44">
        <v>0</v>
      </c>
      <c r="AM163" s="44">
        <v>0</v>
      </c>
      <c r="AN163" s="44">
        <v>0</v>
      </c>
      <c r="AO163" s="44">
        <v>0</v>
      </c>
      <c r="AP163" s="44">
        <v>0</v>
      </c>
      <c r="AQ163" s="44">
        <v>0</v>
      </c>
      <c r="AR163" s="44">
        <v>0</v>
      </c>
      <c r="AS163" s="44">
        <v>0</v>
      </c>
      <c r="AT163" s="44">
        <v>6686953.0893999999</v>
      </c>
      <c r="AU163" s="44">
        <v>2716444.9005785054</v>
      </c>
      <c r="AV163" s="44">
        <v>161139.39970000001</v>
      </c>
      <c r="AW163" s="44">
        <v>1945339.9453644101</v>
      </c>
      <c r="AX163" s="62">
        <v>9564537.3896785062</v>
      </c>
      <c r="AY163" s="62">
        <v>9541641.5299785063</v>
      </c>
      <c r="AZ163" s="62">
        <v>5995</v>
      </c>
      <c r="BA163" s="62">
        <v>7571685</v>
      </c>
      <c r="BB163" s="62">
        <v>0</v>
      </c>
      <c r="BC163" s="62">
        <v>0</v>
      </c>
      <c r="BD163" s="62">
        <v>9564537.3896785062</v>
      </c>
      <c r="BE163" s="44">
        <v>0</v>
      </c>
      <c r="BF163" s="44">
        <v>9564537.3896785062</v>
      </c>
      <c r="BG163" s="62">
        <v>7594580.8596999999</v>
      </c>
      <c r="BH163" s="62">
        <v>7433441.46</v>
      </c>
      <c r="BI163" s="44">
        <v>9403397.9899785072</v>
      </c>
      <c r="BJ163" s="44">
        <v>7445.287402991692</v>
      </c>
      <c r="BK163" s="44">
        <v>7356.9002396360756</v>
      </c>
      <c r="BL163" s="45">
        <v>1.2014185387402867E-2</v>
      </c>
      <c r="BM163" s="45">
        <v>0</v>
      </c>
      <c r="BN163" s="44">
        <v>0</v>
      </c>
      <c r="BO163" s="62">
        <v>9564537.3896785062</v>
      </c>
      <c r="BP163" s="62">
        <v>7554.7438875522612</v>
      </c>
      <c r="BQ163" s="62" t="s">
        <v>92</v>
      </c>
      <c r="BR163" s="62">
        <v>7572.8720425007969</v>
      </c>
      <c r="BS163" s="53">
        <v>-6.2573733733211068E-3</v>
      </c>
      <c r="BT163" s="44">
        <v>-24439.050000000003</v>
      </c>
      <c r="BU163" s="44">
        <v>9540098.3396785054</v>
      </c>
      <c r="BV163" s="44">
        <v>0</v>
      </c>
      <c r="BW163" s="44">
        <v>9540098.3396785054</v>
      </c>
      <c r="BX163" s="44">
        <v>22895.859700000001</v>
      </c>
      <c r="BY163" s="44">
        <v>9517202.4799785055</v>
      </c>
    </row>
    <row r="164" spans="1:77">
      <c r="A164">
        <v>4606</v>
      </c>
      <c r="B164" s="60">
        <v>103531</v>
      </c>
      <c r="C164" s="60">
        <v>3304606</v>
      </c>
      <c r="D164" s="61" t="s">
        <v>369</v>
      </c>
      <c r="E164" s="52">
        <v>828</v>
      </c>
      <c r="F164" s="52">
        <v>0</v>
      </c>
      <c r="G164" s="52">
        <v>828</v>
      </c>
      <c r="H164" s="44">
        <v>0</v>
      </c>
      <c r="I164" s="44">
        <v>2504694.7184000001</v>
      </c>
      <c r="J164" s="44">
        <v>1880368.0031000001</v>
      </c>
      <c r="K164" s="44">
        <v>0</v>
      </c>
      <c r="L164" s="44">
        <v>99327.419800000076</v>
      </c>
      <c r="M164" s="44">
        <v>0</v>
      </c>
      <c r="N164" s="44">
        <v>272151.91200000036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4">
        <v>0</v>
      </c>
      <c r="U164" s="44">
        <v>28353.295310278227</v>
      </c>
      <c r="V164" s="44">
        <v>34813.666991535683</v>
      </c>
      <c r="W164" s="44">
        <v>51904.01260556229</v>
      </c>
      <c r="X164" s="44">
        <v>75565.249478597383</v>
      </c>
      <c r="Y164" s="44">
        <v>115985.2732324063</v>
      </c>
      <c r="Z164" s="44">
        <v>75957.087613059222</v>
      </c>
      <c r="AA164" s="44">
        <v>0</v>
      </c>
      <c r="AB164" s="44">
        <v>44751.965469902862</v>
      </c>
      <c r="AC164" s="44">
        <v>0</v>
      </c>
      <c r="AD164" s="44">
        <v>195293.26275963546</v>
      </c>
      <c r="AE164" s="44">
        <v>0</v>
      </c>
      <c r="AF164" s="44">
        <v>0</v>
      </c>
      <c r="AG164" s="44">
        <v>138243.54</v>
      </c>
      <c r="AH164" s="44">
        <v>0</v>
      </c>
      <c r="AI164" s="44">
        <v>0</v>
      </c>
      <c r="AJ164" s="44">
        <v>0</v>
      </c>
      <c r="AK164" s="44">
        <v>14945.9077</v>
      </c>
      <c r="AL164" s="44">
        <v>0</v>
      </c>
      <c r="AM164" s="44">
        <v>0</v>
      </c>
      <c r="AN164" s="44">
        <v>0</v>
      </c>
      <c r="AO164" s="44">
        <v>0</v>
      </c>
      <c r="AP164" s="44">
        <v>0</v>
      </c>
      <c r="AQ164" s="44">
        <v>0</v>
      </c>
      <c r="AR164" s="44">
        <v>0</v>
      </c>
      <c r="AS164" s="44">
        <v>0</v>
      </c>
      <c r="AT164" s="44">
        <v>4385062.7215</v>
      </c>
      <c r="AU164" s="44">
        <v>994103.14526097779</v>
      </c>
      <c r="AV164" s="44">
        <v>153189.44770000002</v>
      </c>
      <c r="AW164" s="44">
        <v>791575.35735035525</v>
      </c>
      <c r="AX164" s="62">
        <v>5532355.3144609779</v>
      </c>
      <c r="AY164" s="62">
        <v>5517409.4067609776</v>
      </c>
      <c r="AZ164" s="62">
        <v>5995</v>
      </c>
      <c r="BA164" s="62">
        <v>4963860</v>
      </c>
      <c r="BB164" s="62">
        <v>0</v>
      </c>
      <c r="BC164" s="62">
        <v>0</v>
      </c>
      <c r="BD164" s="62">
        <v>5532355.3144609779</v>
      </c>
      <c r="BE164" s="44">
        <v>0</v>
      </c>
      <c r="BF164" s="44">
        <v>5532355.3144609779</v>
      </c>
      <c r="BG164" s="62">
        <v>4978805.9077000003</v>
      </c>
      <c r="BH164" s="62">
        <v>4825616.46</v>
      </c>
      <c r="BI164" s="44">
        <v>5379165.8667609775</v>
      </c>
      <c r="BJ164" s="44">
        <v>6496.5771337692968</v>
      </c>
      <c r="BK164" s="44">
        <v>6417.2028109090897</v>
      </c>
      <c r="BL164" s="45">
        <v>1.2368990851477002E-2</v>
      </c>
      <c r="BM164" s="45">
        <v>0</v>
      </c>
      <c r="BN164" s="44">
        <v>0</v>
      </c>
      <c r="BO164" s="62">
        <v>5532355.3144609779</v>
      </c>
      <c r="BP164" s="62">
        <v>6663.5379308707461</v>
      </c>
      <c r="BQ164" s="62" t="s">
        <v>92</v>
      </c>
      <c r="BR164" s="62">
        <v>6681.5885440349975</v>
      </c>
      <c r="BS164" s="53">
        <v>1.0568146975967085E-2</v>
      </c>
      <c r="BT164" s="44">
        <v>-16021.800000000001</v>
      </c>
      <c r="BU164" s="44">
        <v>5516333.5144609781</v>
      </c>
      <c r="BV164" s="44">
        <v>0</v>
      </c>
      <c r="BW164" s="44">
        <v>5516333.5144609781</v>
      </c>
      <c r="BX164" s="44">
        <v>14945.9077</v>
      </c>
      <c r="BY164" s="44">
        <v>5501387.6067609778</v>
      </c>
    </row>
    <row r="165" spans="1:77">
      <c r="A165">
        <v>4625</v>
      </c>
      <c r="B165" s="60">
        <v>103534</v>
      </c>
      <c r="C165" s="60">
        <v>3304625</v>
      </c>
      <c r="D165" s="61" t="s">
        <v>802</v>
      </c>
      <c r="E165" s="52">
        <v>647</v>
      </c>
      <c r="F165" s="52">
        <v>0</v>
      </c>
      <c r="G165" s="52">
        <v>647</v>
      </c>
      <c r="H165" s="44">
        <v>0</v>
      </c>
      <c r="I165" s="44">
        <v>1945296.0992000001</v>
      </c>
      <c r="J165" s="44">
        <v>1482707.0961</v>
      </c>
      <c r="K165" s="44">
        <v>0</v>
      </c>
      <c r="L165" s="44">
        <v>159808.96750000009</v>
      </c>
      <c r="M165" s="44">
        <v>0</v>
      </c>
      <c r="N165" s="44">
        <v>425086.83600000007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4">
        <v>0</v>
      </c>
      <c r="U165" s="44">
        <v>20130.410600000003</v>
      </c>
      <c r="V165" s="44">
        <v>27997.929000000011</v>
      </c>
      <c r="W165" s="44">
        <v>90406.215899999894</v>
      </c>
      <c r="X165" s="44">
        <v>92092.112700000027</v>
      </c>
      <c r="Y165" s="44">
        <v>125498.96060000011</v>
      </c>
      <c r="Z165" s="44">
        <v>36036.042199999989</v>
      </c>
      <c r="AA165" s="44">
        <v>0</v>
      </c>
      <c r="AB165" s="44">
        <v>73165.911799999973</v>
      </c>
      <c r="AC165" s="44">
        <v>0</v>
      </c>
      <c r="AD165" s="44">
        <v>317188.0497248983</v>
      </c>
      <c r="AE165" s="44">
        <v>0</v>
      </c>
      <c r="AF165" s="44">
        <v>0</v>
      </c>
      <c r="AG165" s="44">
        <v>138243.54</v>
      </c>
      <c r="AH165" s="44">
        <v>0</v>
      </c>
      <c r="AI165" s="44">
        <v>0</v>
      </c>
      <c r="AJ165" s="44">
        <v>0</v>
      </c>
      <c r="AK165" s="44">
        <v>13885.9141</v>
      </c>
      <c r="AL165" s="44">
        <v>0</v>
      </c>
      <c r="AM165" s="44">
        <v>0</v>
      </c>
      <c r="AN165" s="44">
        <v>0</v>
      </c>
      <c r="AO165" s="44">
        <v>0</v>
      </c>
      <c r="AP165" s="44">
        <v>0</v>
      </c>
      <c r="AQ165" s="44">
        <v>0</v>
      </c>
      <c r="AR165" s="44">
        <v>0</v>
      </c>
      <c r="AS165" s="44">
        <v>0</v>
      </c>
      <c r="AT165" s="44">
        <v>3428003.1952999998</v>
      </c>
      <c r="AU165" s="44">
        <v>1367411.4360248987</v>
      </c>
      <c r="AV165" s="44">
        <v>152129.4541</v>
      </c>
      <c r="AW165" s="44">
        <v>977116.94673989841</v>
      </c>
      <c r="AX165" s="62">
        <v>4947544.0854248982</v>
      </c>
      <c r="AY165" s="62">
        <v>4933658.1713248985</v>
      </c>
      <c r="AZ165" s="62">
        <v>5995</v>
      </c>
      <c r="BA165" s="62">
        <v>3878765</v>
      </c>
      <c r="BB165" s="62">
        <v>0</v>
      </c>
      <c r="BC165" s="62">
        <v>0</v>
      </c>
      <c r="BD165" s="62">
        <v>4947544.0854248982</v>
      </c>
      <c r="BE165" s="44">
        <v>0</v>
      </c>
      <c r="BF165" s="44">
        <v>4947544.0854248982</v>
      </c>
      <c r="BG165" s="62">
        <v>3892650.9141000002</v>
      </c>
      <c r="BH165" s="62">
        <v>3740521.46</v>
      </c>
      <c r="BI165" s="44">
        <v>4795414.6313248985</v>
      </c>
      <c r="BJ165" s="44">
        <v>7411.7691365145265</v>
      </c>
      <c r="BK165" s="44">
        <v>7324.1333422776897</v>
      </c>
      <c r="BL165" s="45">
        <v>1.1965346634388748E-2</v>
      </c>
      <c r="BM165" s="45">
        <v>0</v>
      </c>
      <c r="BN165" s="44">
        <v>0</v>
      </c>
      <c r="BO165" s="62">
        <v>4947544.0854248982</v>
      </c>
      <c r="BP165" s="62">
        <v>7625.4376681992253</v>
      </c>
      <c r="BQ165" s="62" t="s">
        <v>92</v>
      </c>
      <c r="BR165" s="62">
        <v>7646.8996683537844</v>
      </c>
      <c r="BS165" s="53">
        <v>1.1168400497930886E-2</v>
      </c>
      <c r="BT165" s="44">
        <v>-12519.45</v>
      </c>
      <c r="BU165" s="44">
        <v>4935024.635424898</v>
      </c>
      <c r="BV165" s="44">
        <v>0</v>
      </c>
      <c r="BW165" s="44">
        <v>4935024.635424898</v>
      </c>
      <c r="BX165" s="44">
        <v>13885.9141</v>
      </c>
      <c r="BY165" s="44">
        <v>4921138.7213248983</v>
      </c>
    </row>
    <row r="166" spans="1:77">
      <c r="A166">
        <v>4801</v>
      </c>
      <c r="B166" s="60">
        <v>103539</v>
      </c>
      <c r="C166" s="60">
        <v>3304801</v>
      </c>
      <c r="D166" s="61" t="s">
        <v>263</v>
      </c>
      <c r="E166" s="52">
        <v>777</v>
      </c>
      <c r="F166" s="52">
        <v>0</v>
      </c>
      <c r="G166" s="52">
        <v>777</v>
      </c>
      <c r="H166" s="44">
        <v>0</v>
      </c>
      <c r="I166" s="44">
        <v>2383743.6655999999</v>
      </c>
      <c r="J166" s="44">
        <v>1726984.5104</v>
      </c>
      <c r="K166" s="44">
        <v>0</v>
      </c>
      <c r="L166" s="44">
        <v>137681.57199999987</v>
      </c>
      <c r="M166" s="44">
        <v>0</v>
      </c>
      <c r="N166" s="44">
        <v>456396.34800000017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4">
        <v>0</v>
      </c>
      <c r="U166" s="44">
        <v>21495.184200000003</v>
      </c>
      <c r="V166" s="44">
        <v>29352.667500000014</v>
      </c>
      <c r="W166" s="44">
        <v>11379.803400000017</v>
      </c>
      <c r="X166" s="44">
        <v>50546.798700000021</v>
      </c>
      <c r="Y166" s="44">
        <v>237631.16800000009</v>
      </c>
      <c r="Z166" s="44">
        <v>86296.837899999926</v>
      </c>
      <c r="AA166" s="44">
        <v>0</v>
      </c>
      <c r="AB166" s="44">
        <v>60441.405400000003</v>
      </c>
      <c r="AC166" s="44">
        <v>0</v>
      </c>
      <c r="AD166" s="44">
        <v>359278.78232682956</v>
      </c>
      <c r="AE166" s="44">
        <v>0</v>
      </c>
      <c r="AF166" s="44">
        <v>0</v>
      </c>
      <c r="AG166" s="44">
        <v>138243.54</v>
      </c>
      <c r="AH166" s="44">
        <v>0</v>
      </c>
      <c r="AI166" s="44">
        <v>0</v>
      </c>
      <c r="AJ166" s="44">
        <v>0</v>
      </c>
      <c r="AK166" s="44">
        <v>24697.855</v>
      </c>
      <c r="AL166" s="44">
        <v>0</v>
      </c>
      <c r="AM166" s="44">
        <v>0</v>
      </c>
      <c r="AN166" s="44">
        <v>0</v>
      </c>
      <c r="AO166" s="44">
        <v>0</v>
      </c>
      <c r="AP166" s="44">
        <v>0</v>
      </c>
      <c r="AQ166" s="44">
        <v>0</v>
      </c>
      <c r="AR166" s="44">
        <v>0</v>
      </c>
      <c r="AS166" s="44">
        <v>0</v>
      </c>
      <c r="AT166" s="44">
        <v>4110728.176</v>
      </c>
      <c r="AU166" s="44">
        <v>1450500.5674268296</v>
      </c>
      <c r="AV166" s="44">
        <v>162941.39500000002</v>
      </c>
      <c r="AW166" s="44">
        <v>1080205.3809768297</v>
      </c>
      <c r="AX166" s="62">
        <v>5724170.1384268291</v>
      </c>
      <c r="AY166" s="62">
        <v>5699472.2834268287</v>
      </c>
      <c r="AZ166" s="62">
        <v>5995</v>
      </c>
      <c r="BA166" s="62">
        <v>4658115</v>
      </c>
      <c r="BB166" s="62">
        <v>0</v>
      </c>
      <c r="BC166" s="62">
        <v>0</v>
      </c>
      <c r="BD166" s="62">
        <v>5724170.1384268291</v>
      </c>
      <c r="BE166" s="44">
        <v>0</v>
      </c>
      <c r="BF166" s="44">
        <v>5724170.1384268291</v>
      </c>
      <c r="BG166" s="62">
        <v>4682812.8550000004</v>
      </c>
      <c r="BH166" s="62">
        <v>4519871.46</v>
      </c>
      <c r="BI166" s="44">
        <v>5561228.7434268286</v>
      </c>
      <c r="BJ166" s="44">
        <v>7157.3085500988782</v>
      </c>
      <c r="BK166" s="44">
        <v>7118.3275927461145</v>
      </c>
      <c r="BL166" s="45">
        <v>5.4761398439272368E-3</v>
      </c>
      <c r="BM166" s="45">
        <v>0</v>
      </c>
      <c r="BN166" s="44">
        <v>0</v>
      </c>
      <c r="BO166" s="62">
        <v>5724170.1384268291</v>
      </c>
      <c r="BP166" s="62">
        <v>7335.2281639984922</v>
      </c>
      <c r="BQ166" s="62" t="s">
        <v>92</v>
      </c>
      <c r="BR166" s="62">
        <v>7367.0143351696643</v>
      </c>
      <c r="BS166" s="53">
        <v>7.1295605088996794E-3</v>
      </c>
      <c r="BT166" s="44">
        <v>-15034.95</v>
      </c>
      <c r="BU166" s="44">
        <v>5709135.1884268289</v>
      </c>
      <c r="BV166" s="44">
        <v>0</v>
      </c>
      <c r="BW166" s="44">
        <v>5709135.1884268289</v>
      </c>
      <c r="BX166" s="44">
        <v>24697.855</v>
      </c>
      <c r="BY166" s="44">
        <v>5684437.3334268285</v>
      </c>
    </row>
    <row r="167" spans="1:77">
      <c r="A167">
        <v>5413</v>
      </c>
      <c r="B167" s="60">
        <v>103560</v>
      </c>
      <c r="C167" s="60">
        <v>3305413</v>
      </c>
      <c r="D167" s="61" t="s">
        <v>242</v>
      </c>
      <c r="E167" s="52">
        <v>989</v>
      </c>
      <c r="F167" s="52">
        <v>0</v>
      </c>
      <c r="G167" s="52">
        <v>989</v>
      </c>
      <c r="H167" s="44">
        <v>0</v>
      </c>
      <c r="I167" s="44">
        <v>3038895.2015999998</v>
      </c>
      <c r="J167" s="44">
        <v>2192815.8585999999</v>
      </c>
      <c r="K167" s="44">
        <v>0</v>
      </c>
      <c r="L167" s="44">
        <v>172593.68490000017</v>
      </c>
      <c r="M167" s="44">
        <v>0</v>
      </c>
      <c r="N167" s="44">
        <v>437128.9560000003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4">
        <v>0</v>
      </c>
      <c r="U167" s="44">
        <v>15694.896399999985</v>
      </c>
      <c r="V167" s="44">
        <v>75865.356000000233</v>
      </c>
      <c r="W167" s="44">
        <v>51209.115299999983</v>
      </c>
      <c r="X167" s="44">
        <v>66472.502400000041</v>
      </c>
      <c r="Y167" s="44">
        <v>115845.19439999973</v>
      </c>
      <c r="Z167" s="44">
        <v>80606.936499999996</v>
      </c>
      <c r="AA167" s="44">
        <v>0</v>
      </c>
      <c r="AB167" s="44">
        <v>20698.251364473675</v>
      </c>
      <c r="AC167" s="44">
        <v>0</v>
      </c>
      <c r="AD167" s="44">
        <v>281527.33583452326</v>
      </c>
      <c r="AE167" s="44">
        <v>0</v>
      </c>
      <c r="AF167" s="44">
        <v>0</v>
      </c>
      <c r="AG167" s="44">
        <v>138243.54</v>
      </c>
      <c r="AH167" s="44">
        <v>0</v>
      </c>
      <c r="AI167" s="44">
        <v>0</v>
      </c>
      <c r="AJ167" s="44">
        <v>0</v>
      </c>
      <c r="AK167" s="44">
        <v>82149.504000000001</v>
      </c>
      <c r="AL167" s="44">
        <v>0</v>
      </c>
      <c r="AM167" s="44">
        <v>0</v>
      </c>
      <c r="AN167" s="44">
        <v>0</v>
      </c>
      <c r="AO167" s="44">
        <v>0</v>
      </c>
      <c r="AP167" s="44">
        <v>0</v>
      </c>
      <c r="AQ167" s="44">
        <v>0</v>
      </c>
      <c r="AR167" s="44">
        <v>0</v>
      </c>
      <c r="AS167" s="44">
        <v>0</v>
      </c>
      <c r="AT167" s="44">
        <v>5231711.0602000002</v>
      </c>
      <c r="AU167" s="44">
        <v>1317642.2290989973</v>
      </c>
      <c r="AV167" s="44">
        <v>220393.04399999999</v>
      </c>
      <c r="AW167" s="44">
        <v>1050821.2097945234</v>
      </c>
      <c r="AX167" s="62">
        <v>6769746.333298997</v>
      </c>
      <c r="AY167" s="62">
        <v>6687596.8292989973</v>
      </c>
      <c r="AZ167" s="62">
        <v>5995</v>
      </c>
      <c r="BA167" s="62">
        <v>5929055</v>
      </c>
      <c r="BB167" s="62">
        <v>0</v>
      </c>
      <c r="BC167" s="62">
        <v>0</v>
      </c>
      <c r="BD167" s="62">
        <v>6769746.333298997</v>
      </c>
      <c r="BE167" s="44">
        <v>0</v>
      </c>
      <c r="BF167" s="44">
        <v>6769746.3332989961</v>
      </c>
      <c r="BG167" s="62">
        <v>6011204.5039999997</v>
      </c>
      <c r="BH167" s="62">
        <v>5790811.46</v>
      </c>
      <c r="BI167" s="44">
        <v>6549353.2892989973</v>
      </c>
      <c r="BJ167" s="44">
        <v>6622.1974613741122</v>
      </c>
      <c r="BK167" s="44">
        <v>6453.8788682877394</v>
      </c>
      <c r="BL167" s="45">
        <v>2.6080221913280036E-2</v>
      </c>
      <c r="BM167" s="45">
        <v>0</v>
      </c>
      <c r="BN167" s="44">
        <v>0</v>
      </c>
      <c r="BO167" s="62">
        <v>6769746.333298997</v>
      </c>
      <c r="BP167" s="62">
        <v>6761.9785938311397</v>
      </c>
      <c r="BQ167" s="62" t="s">
        <v>92</v>
      </c>
      <c r="BR167" s="62">
        <v>6845.041793022242</v>
      </c>
      <c r="BS167" s="53">
        <v>3.4269579951738516E-2</v>
      </c>
      <c r="BT167" s="44">
        <v>-19137.150000000001</v>
      </c>
      <c r="BU167" s="44">
        <v>6750609.1832989966</v>
      </c>
      <c r="BV167" s="44">
        <v>0</v>
      </c>
      <c r="BW167" s="44">
        <v>6750609.1832989966</v>
      </c>
      <c r="BX167" s="44">
        <v>82149.504000000001</v>
      </c>
      <c r="BY167" s="44">
        <v>6668459.6792989969</v>
      </c>
    </row>
    <row r="168" spans="1:77">
      <c r="A168">
        <v>5416</v>
      </c>
      <c r="B168" s="60">
        <v>103563</v>
      </c>
      <c r="C168" s="60">
        <v>3305416</v>
      </c>
      <c r="D168" s="61" t="s">
        <v>281</v>
      </c>
      <c r="E168" s="52">
        <v>1187</v>
      </c>
      <c r="F168" s="52">
        <v>0</v>
      </c>
      <c r="G168" s="52">
        <v>1187</v>
      </c>
      <c r="H168" s="44">
        <v>0</v>
      </c>
      <c r="I168" s="44">
        <v>3643650.4655999998</v>
      </c>
      <c r="J168" s="44">
        <v>2635923.7264</v>
      </c>
      <c r="K168" s="44">
        <v>0</v>
      </c>
      <c r="L168" s="44">
        <v>275854.8639</v>
      </c>
      <c r="M168" s="44">
        <v>0</v>
      </c>
      <c r="N168" s="44">
        <v>739386.16799999948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4">
        <v>0</v>
      </c>
      <c r="U168" s="44">
        <v>42649.174999999981</v>
      </c>
      <c r="V168" s="44">
        <v>40190.575499999977</v>
      </c>
      <c r="W168" s="44">
        <v>22759.606799999994</v>
      </c>
      <c r="X168" s="44">
        <v>195262.97580000025</v>
      </c>
      <c r="Y168" s="44">
        <v>226492.20699999991</v>
      </c>
      <c r="Z168" s="44">
        <v>103366.54209999996</v>
      </c>
      <c r="AA168" s="44">
        <v>0</v>
      </c>
      <c r="AB168" s="44">
        <v>70340.338723454639</v>
      </c>
      <c r="AC168" s="44">
        <v>0</v>
      </c>
      <c r="AD168" s="44">
        <v>588158.98694691167</v>
      </c>
      <c r="AE168" s="44">
        <v>0</v>
      </c>
      <c r="AF168" s="44">
        <v>0</v>
      </c>
      <c r="AG168" s="44">
        <v>138243.54</v>
      </c>
      <c r="AH168" s="44">
        <v>0</v>
      </c>
      <c r="AI168" s="44">
        <v>0</v>
      </c>
      <c r="AJ168" s="44">
        <v>0</v>
      </c>
      <c r="AK168" s="44">
        <v>8691.9434000000001</v>
      </c>
      <c r="AL168" s="44">
        <v>0</v>
      </c>
      <c r="AM168" s="44">
        <v>0</v>
      </c>
      <c r="AN168" s="44">
        <v>0</v>
      </c>
      <c r="AO168" s="44">
        <v>0</v>
      </c>
      <c r="AP168" s="44">
        <v>0</v>
      </c>
      <c r="AQ168" s="44">
        <v>0</v>
      </c>
      <c r="AR168" s="44">
        <v>0</v>
      </c>
      <c r="AS168" s="44">
        <v>0</v>
      </c>
      <c r="AT168" s="44">
        <v>6279574.1919999998</v>
      </c>
      <c r="AU168" s="44">
        <v>2304461.4397703661</v>
      </c>
      <c r="AV168" s="44">
        <v>146935.4834</v>
      </c>
      <c r="AW168" s="44">
        <v>1725118.7535969112</v>
      </c>
      <c r="AX168" s="62">
        <v>8730971.1151703652</v>
      </c>
      <c r="AY168" s="62">
        <v>8722279.1717703659</v>
      </c>
      <c r="AZ168" s="62">
        <v>5995</v>
      </c>
      <c r="BA168" s="62">
        <v>7116065</v>
      </c>
      <c r="BB168" s="62">
        <v>0</v>
      </c>
      <c r="BC168" s="62">
        <v>0</v>
      </c>
      <c r="BD168" s="62">
        <v>8730971.1151703652</v>
      </c>
      <c r="BE168" s="44">
        <v>0</v>
      </c>
      <c r="BF168" s="44">
        <v>8730971.1151703671</v>
      </c>
      <c r="BG168" s="62">
        <v>7124756.9434000002</v>
      </c>
      <c r="BH168" s="62">
        <v>6977821.46</v>
      </c>
      <c r="BI168" s="44">
        <v>8584035.6317703668</v>
      </c>
      <c r="BJ168" s="44">
        <v>7231.7065137071331</v>
      </c>
      <c r="BK168" s="44">
        <v>7155.9242312788265</v>
      </c>
      <c r="BL168" s="45">
        <v>1.0590146007563818E-2</v>
      </c>
      <c r="BM168" s="45">
        <v>0</v>
      </c>
      <c r="BN168" s="44">
        <v>0</v>
      </c>
      <c r="BO168" s="62">
        <v>8730971.1151703652</v>
      </c>
      <c r="BP168" s="62">
        <v>7348.1711640862395</v>
      </c>
      <c r="BQ168" s="62" t="s">
        <v>92</v>
      </c>
      <c r="BR168" s="62">
        <v>7355.4937785765505</v>
      </c>
      <c r="BS168" s="53">
        <v>8.8661794385933579E-3</v>
      </c>
      <c r="BT168" s="44">
        <v>-22968.45</v>
      </c>
      <c r="BU168" s="44">
        <v>8708002.6651703659</v>
      </c>
      <c r="BV168" s="44">
        <v>0</v>
      </c>
      <c r="BW168" s="44">
        <v>8708002.6651703659</v>
      </c>
      <c r="BX168" s="44">
        <v>8691.9434000000001</v>
      </c>
      <c r="BY168" s="44">
        <v>8699310.7217703667</v>
      </c>
    </row>
    <row r="169" spans="1:77">
      <c r="A169">
        <v>0</v>
      </c>
      <c r="B169" s="60">
        <v>142230</v>
      </c>
      <c r="C169" s="60">
        <v>3302003</v>
      </c>
      <c r="D169" s="61" t="s">
        <v>876</v>
      </c>
      <c r="E169" s="52">
        <v>634</v>
      </c>
      <c r="F169" s="52">
        <v>634</v>
      </c>
      <c r="G169" s="52">
        <v>0</v>
      </c>
      <c r="H169" s="44">
        <v>2266234.6483999998</v>
      </c>
      <c r="I169" s="44">
        <v>0</v>
      </c>
      <c r="J169" s="44">
        <v>0</v>
      </c>
      <c r="K169" s="44">
        <v>125880.29440000014</v>
      </c>
      <c r="L169" s="44">
        <v>0</v>
      </c>
      <c r="M169" s="44">
        <v>234520.28699999989</v>
      </c>
      <c r="N169" s="44">
        <v>0</v>
      </c>
      <c r="O169" s="44">
        <v>7782.2184000000034</v>
      </c>
      <c r="P169" s="44">
        <v>4290.0045000000082</v>
      </c>
      <c r="Q169" s="44">
        <v>20095.285500000013</v>
      </c>
      <c r="R169" s="44">
        <v>207821.88209999993</v>
      </c>
      <c r="S169" s="44">
        <v>50130.337200000162</v>
      </c>
      <c r="T169" s="44">
        <v>7506.2547999999888</v>
      </c>
      <c r="U169" s="44">
        <v>0</v>
      </c>
      <c r="V169" s="44">
        <v>0</v>
      </c>
      <c r="W169" s="44">
        <v>0</v>
      </c>
      <c r="X169" s="44">
        <v>0</v>
      </c>
      <c r="Y169" s="44">
        <v>0</v>
      </c>
      <c r="Z169" s="44">
        <v>0</v>
      </c>
      <c r="AA169" s="44">
        <v>110721.51780287757</v>
      </c>
      <c r="AB169" s="44">
        <v>0</v>
      </c>
      <c r="AC169" s="44">
        <v>255755.71701501086</v>
      </c>
      <c r="AD169" s="44">
        <v>0</v>
      </c>
      <c r="AE169" s="44">
        <v>0</v>
      </c>
      <c r="AF169" s="44">
        <v>0</v>
      </c>
      <c r="AG169" s="44">
        <v>138243.54</v>
      </c>
      <c r="AH169" s="44">
        <v>0</v>
      </c>
      <c r="AI169" s="44">
        <v>0</v>
      </c>
      <c r="AJ169" s="44">
        <v>0</v>
      </c>
      <c r="AK169" s="44">
        <v>6200.9605000000001</v>
      </c>
      <c r="AL169" s="44">
        <v>0</v>
      </c>
      <c r="AM169" s="44">
        <v>0</v>
      </c>
      <c r="AN169" s="44">
        <v>0</v>
      </c>
      <c r="AO169" s="44">
        <v>0</v>
      </c>
      <c r="AP169" s="44">
        <v>0</v>
      </c>
      <c r="AQ169" s="44">
        <v>0</v>
      </c>
      <c r="AR169" s="44">
        <v>0</v>
      </c>
      <c r="AS169" s="44">
        <v>0</v>
      </c>
      <c r="AT169" s="44">
        <v>2266234.6483999998</v>
      </c>
      <c r="AU169" s="44">
        <v>1024503.7987178887</v>
      </c>
      <c r="AV169" s="44">
        <v>144444.50049999999</v>
      </c>
      <c r="AW169" s="44">
        <v>698080.73138501099</v>
      </c>
      <c r="AX169" s="62">
        <v>3435182.9476178885</v>
      </c>
      <c r="AY169" s="62">
        <v>3428981.9871178884</v>
      </c>
      <c r="AZ169" s="62">
        <v>4610</v>
      </c>
      <c r="BA169" s="62">
        <v>2922740</v>
      </c>
      <c r="BB169" s="62">
        <v>0</v>
      </c>
      <c r="BC169" s="62">
        <v>0</v>
      </c>
      <c r="BD169" s="62">
        <v>3435182.9476178885</v>
      </c>
      <c r="BE169" s="44">
        <v>3435182.947617888</v>
      </c>
      <c r="BF169" s="44">
        <v>0</v>
      </c>
      <c r="BG169" s="62">
        <v>2928940.9605</v>
      </c>
      <c r="BH169" s="62">
        <v>2784496.46</v>
      </c>
      <c r="BI169" s="44">
        <v>3290738.4471178884</v>
      </c>
      <c r="BJ169" s="44">
        <v>5190.4391910376789</v>
      </c>
      <c r="BK169" s="44">
        <v>5086.7909709062005</v>
      </c>
      <c r="BL169" s="45">
        <v>2.0375954255697225E-2</v>
      </c>
      <c r="BM169" s="45">
        <v>0</v>
      </c>
      <c r="BN169" s="44">
        <v>0</v>
      </c>
      <c r="BO169" s="62">
        <v>3435182.9476178885</v>
      </c>
      <c r="BP169" s="62">
        <v>5408.4889386717487</v>
      </c>
      <c r="BQ169" s="62" t="s">
        <v>92</v>
      </c>
      <c r="BR169" s="62">
        <v>5418.2696334667007</v>
      </c>
      <c r="BS169" s="53">
        <v>1.847361025827543E-2</v>
      </c>
      <c r="BT169" s="44">
        <v>0</v>
      </c>
      <c r="BU169" s="44">
        <v>3435182.9476178885</v>
      </c>
      <c r="BV169" s="44">
        <v>0</v>
      </c>
      <c r="BW169" s="44">
        <v>3435182.9476178885</v>
      </c>
      <c r="BX169" s="44">
        <v>6200.9605000000001</v>
      </c>
      <c r="BY169" s="44">
        <v>3428981.9871178884</v>
      </c>
    </row>
    <row r="170" spans="1:77">
      <c r="A170">
        <v>0</v>
      </c>
      <c r="B170" s="60">
        <v>149872</v>
      </c>
      <c r="C170" s="60">
        <v>3302018</v>
      </c>
      <c r="D170" s="61" t="s">
        <v>877</v>
      </c>
      <c r="E170" s="52">
        <v>286</v>
      </c>
      <c r="F170" s="52">
        <v>286</v>
      </c>
      <c r="G170" s="52">
        <v>0</v>
      </c>
      <c r="H170" s="44">
        <v>1022307.7435999999</v>
      </c>
      <c r="I170" s="44">
        <v>0</v>
      </c>
      <c r="J170" s="44">
        <v>0</v>
      </c>
      <c r="K170" s="44">
        <v>106703.21830000002</v>
      </c>
      <c r="L170" s="44">
        <v>0</v>
      </c>
      <c r="M170" s="44">
        <v>183501.83860000008</v>
      </c>
      <c r="N170" s="44">
        <v>0</v>
      </c>
      <c r="O170" s="44">
        <v>2122.423200000002</v>
      </c>
      <c r="P170" s="44">
        <v>3432.0036000000032</v>
      </c>
      <c r="Q170" s="44">
        <v>1786.2476000000015</v>
      </c>
      <c r="R170" s="44">
        <v>11680.855199999998</v>
      </c>
      <c r="S170" s="44">
        <v>7752.1139999999923</v>
      </c>
      <c r="T170" s="44">
        <v>140571.68079999994</v>
      </c>
      <c r="U170" s="44">
        <v>0</v>
      </c>
      <c r="V170" s="44">
        <v>0</v>
      </c>
      <c r="W170" s="44">
        <v>0</v>
      </c>
      <c r="X170" s="44">
        <v>0</v>
      </c>
      <c r="Y170" s="44">
        <v>0</v>
      </c>
      <c r="Z170" s="44">
        <v>0</v>
      </c>
      <c r="AA170" s="44">
        <v>33023.307210788422</v>
      </c>
      <c r="AB170" s="44">
        <v>0</v>
      </c>
      <c r="AC170" s="44">
        <v>135287.73519217022</v>
      </c>
      <c r="AD170" s="44">
        <v>0</v>
      </c>
      <c r="AE170" s="44">
        <v>4662.7088639999938</v>
      </c>
      <c r="AF170" s="44">
        <v>0</v>
      </c>
      <c r="AG170" s="44">
        <v>138243.54</v>
      </c>
      <c r="AH170" s="44">
        <v>0</v>
      </c>
      <c r="AI170" s="44">
        <v>0</v>
      </c>
      <c r="AJ170" s="44">
        <v>0</v>
      </c>
      <c r="AK170" s="44">
        <v>22469.480899999999</v>
      </c>
      <c r="AL170" s="44">
        <v>0</v>
      </c>
      <c r="AM170" s="44">
        <v>0</v>
      </c>
      <c r="AN170" s="44">
        <v>0</v>
      </c>
      <c r="AO170" s="44">
        <v>0</v>
      </c>
      <c r="AP170" s="44">
        <v>0</v>
      </c>
      <c r="AQ170" s="44">
        <v>0</v>
      </c>
      <c r="AR170" s="44">
        <v>0</v>
      </c>
      <c r="AS170" s="44">
        <v>0</v>
      </c>
      <c r="AT170" s="44">
        <v>1022307.7435999999</v>
      </c>
      <c r="AU170" s="44">
        <v>630524.13256695867</v>
      </c>
      <c r="AV170" s="44">
        <v>160713.0209</v>
      </c>
      <c r="AW170" s="44">
        <v>415178.31302217022</v>
      </c>
      <c r="AX170" s="62">
        <v>1813544.8970669587</v>
      </c>
      <c r="AY170" s="62">
        <v>1791075.4161669586</v>
      </c>
      <c r="AZ170" s="62">
        <v>4610</v>
      </c>
      <c r="BA170" s="62">
        <v>1318460</v>
      </c>
      <c r="BB170" s="62">
        <v>0</v>
      </c>
      <c r="BC170" s="62">
        <v>0</v>
      </c>
      <c r="BD170" s="62">
        <v>1813544.8970669587</v>
      </c>
      <c r="BE170" s="44">
        <v>1813544.8970669587</v>
      </c>
      <c r="BF170" s="44">
        <v>0</v>
      </c>
      <c r="BG170" s="62">
        <v>1340929.4809000001</v>
      </c>
      <c r="BH170" s="62">
        <v>1180216.46</v>
      </c>
      <c r="BI170" s="44">
        <v>1652831.8761669586</v>
      </c>
      <c r="BJ170" s="44">
        <v>5779.132434150205</v>
      </c>
      <c r="BK170" s="44">
        <v>5726.9997376306619</v>
      </c>
      <c r="BL170" s="45">
        <v>9.1029682046242025E-3</v>
      </c>
      <c r="BM170" s="45">
        <v>0</v>
      </c>
      <c r="BN170" s="44">
        <v>0</v>
      </c>
      <c r="BO170" s="62">
        <v>1813544.8970669587</v>
      </c>
      <c r="BP170" s="62">
        <v>6262.5014551292261</v>
      </c>
      <c r="BQ170" s="62" t="s">
        <v>92</v>
      </c>
      <c r="BR170" s="62">
        <v>6341.0660736606951</v>
      </c>
      <c r="BS170" s="53">
        <v>8.9695632402471137E-3</v>
      </c>
      <c r="BT170" s="44">
        <v>0</v>
      </c>
      <c r="BU170" s="44">
        <v>1813544.8970669587</v>
      </c>
      <c r="BV170" s="44">
        <v>0</v>
      </c>
      <c r="BW170" s="44">
        <v>1813544.8970669587</v>
      </c>
      <c r="BX170" s="44">
        <v>22469.480899999999</v>
      </c>
      <c r="BY170" s="44">
        <v>1791075.4161669586</v>
      </c>
    </row>
    <row r="171" spans="1:77">
      <c r="A171">
        <v>0</v>
      </c>
      <c r="B171" s="60">
        <v>139443</v>
      </c>
      <c r="C171" s="60">
        <v>3302020</v>
      </c>
      <c r="D171" s="61" t="s">
        <v>878</v>
      </c>
      <c r="E171" s="52">
        <v>420</v>
      </c>
      <c r="F171" s="52">
        <v>420</v>
      </c>
      <c r="G171" s="52">
        <v>0</v>
      </c>
      <c r="H171" s="44">
        <v>1501291.0919999999</v>
      </c>
      <c r="I171" s="44">
        <v>0</v>
      </c>
      <c r="J171" s="44">
        <v>0</v>
      </c>
      <c r="K171" s="44">
        <v>70807.665600000037</v>
      </c>
      <c r="L171" s="44">
        <v>0</v>
      </c>
      <c r="M171" s="44">
        <v>120140.21720000014</v>
      </c>
      <c r="N171" s="44">
        <v>0</v>
      </c>
      <c r="O171" s="44">
        <v>19101.808800000013</v>
      </c>
      <c r="P171" s="44">
        <v>41756.043800000043</v>
      </c>
      <c r="Q171" s="44">
        <v>6698.4284999999963</v>
      </c>
      <c r="R171" s="44">
        <v>50617.039200000072</v>
      </c>
      <c r="S171" s="44">
        <v>22739.534400000051</v>
      </c>
      <c r="T171" s="44">
        <v>682.38679999999965</v>
      </c>
      <c r="U171" s="44">
        <v>0</v>
      </c>
      <c r="V171" s="44">
        <v>0</v>
      </c>
      <c r="W171" s="44">
        <v>0</v>
      </c>
      <c r="X171" s="44">
        <v>0</v>
      </c>
      <c r="Y171" s="44">
        <v>0</v>
      </c>
      <c r="Z171" s="44">
        <v>0</v>
      </c>
      <c r="AA171" s="44">
        <v>99744.980590529332</v>
      </c>
      <c r="AB171" s="44">
        <v>0</v>
      </c>
      <c r="AC171" s="44">
        <v>147365.18920699597</v>
      </c>
      <c r="AD171" s="44">
        <v>0</v>
      </c>
      <c r="AE171" s="44">
        <v>0</v>
      </c>
      <c r="AF171" s="44">
        <v>0</v>
      </c>
      <c r="AG171" s="44">
        <v>138243.54</v>
      </c>
      <c r="AH171" s="44">
        <v>0</v>
      </c>
      <c r="AI171" s="44">
        <v>0</v>
      </c>
      <c r="AJ171" s="44">
        <v>0</v>
      </c>
      <c r="AK171" s="44">
        <v>18406.790099999998</v>
      </c>
      <c r="AL171" s="44">
        <v>0</v>
      </c>
      <c r="AM171" s="44">
        <v>0</v>
      </c>
      <c r="AN171" s="44">
        <v>0</v>
      </c>
      <c r="AO171" s="44">
        <v>0</v>
      </c>
      <c r="AP171" s="44">
        <v>0</v>
      </c>
      <c r="AQ171" s="44">
        <v>0</v>
      </c>
      <c r="AR171" s="44">
        <v>0</v>
      </c>
      <c r="AS171" s="44">
        <v>0</v>
      </c>
      <c r="AT171" s="44">
        <v>1501291.0919999999</v>
      </c>
      <c r="AU171" s="44">
        <v>579653.29409752565</v>
      </c>
      <c r="AV171" s="44">
        <v>156650.33010000002</v>
      </c>
      <c r="AW171" s="44">
        <v>388701.30595699616</v>
      </c>
      <c r="AX171" s="62">
        <v>2237594.7161975256</v>
      </c>
      <c r="AY171" s="62">
        <v>2219187.9260975257</v>
      </c>
      <c r="AZ171" s="62">
        <v>4610</v>
      </c>
      <c r="BA171" s="62">
        <v>1936200</v>
      </c>
      <c r="BB171" s="62">
        <v>0</v>
      </c>
      <c r="BC171" s="62">
        <v>0</v>
      </c>
      <c r="BD171" s="62">
        <v>2237594.7161975256</v>
      </c>
      <c r="BE171" s="44">
        <v>2237594.7161975252</v>
      </c>
      <c r="BF171" s="44">
        <v>0</v>
      </c>
      <c r="BG171" s="62">
        <v>1954606.7901000001</v>
      </c>
      <c r="BH171" s="62">
        <v>1797956.46</v>
      </c>
      <c r="BI171" s="44">
        <v>2080944.3860975255</v>
      </c>
      <c r="BJ171" s="44">
        <v>4954.6294907083939</v>
      </c>
      <c r="BK171" s="44">
        <v>4838.2138208530805</v>
      </c>
      <c r="BL171" s="45">
        <v>2.4061704208597125E-2</v>
      </c>
      <c r="BM171" s="45">
        <v>0</v>
      </c>
      <c r="BN171" s="44">
        <v>0</v>
      </c>
      <c r="BO171" s="62">
        <v>2237594.7161975256</v>
      </c>
      <c r="BP171" s="62">
        <v>5283.78077642268</v>
      </c>
      <c r="BQ171" s="62" t="s">
        <v>92</v>
      </c>
      <c r="BR171" s="62">
        <v>5327.6064671369659</v>
      </c>
      <c r="BS171" s="53">
        <v>2.8481284564746634E-2</v>
      </c>
      <c r="BT171" s="44">
        <v>0</v>
      </c>
      <c r="BU171" s="44">
        <v>2237594.7161975256</v>
      </c>
      <c r="BV171" s="44">
        <v>0</v>
      </c>
      <c r="BW171" s="44">
        <v>2237594.7161975256</v>
      </c>
      <c r="BX171" s="44">
        <v>18406.790099999998</v>
      </c>
      <c r="BY171" s="44">
        <v>2219187.9260975257</v>
      </c>
    </row>
    <row r="172" spans="1:77">
      <c r="A172">
        <v>0</v>
      </c>
      <c r="B172" s="60">
        <v>137492</v>
      </c>
      <c r="C172" s="60">
        <v>3302032</v>
      </c>
      <c r="D172" s="61" t="s">
        <v>879</v>
      </c>
      <c r="E172" s="52">
        <v>419</v>
      </c>
      <c r="F172" s="52">
        <v>419</v>
      </c>
      <c r="G172" s="52">
        <v>0</v>
      </c>
      <c r="H172" s="44">
        <v>1497716.5893999999</v>
      </c>
      <c r="I172" s="44">
        <v>0</v>
      </c>
      <c r="J172" s="44">
        <v>0</v>
      </c>
      <c r="K172" s="44">
        <v>20160.515899999991</v>
      </c>
      <c r="L172" s="44">
        <v>0</v>
      </c>
      <c r="M172" s="44">
        <v>41143.910000000084</v>
      </c>
      <c r="N172" s="44">
        <v>0</v>
      </c>
      <c r="O172" s="44">
        <v>10612.115999999995</v>
      </c>
      <c r="P172" s="44">
        <v>14300.015000000027</v>
      </c>
      <c r="Q172" s="44">
        <v>26793.713999999978</v>
      </c>
      <c r="R172" s="44">
        <v>18981.389700000007</v>
      </c>
      <c r="S172" s="44">
        <v>39277.377600000029</v>
      </c>
      <c r="T172" s="44">
        <v>4776.707599999987</v>
      </c>
      <c r="U172" s="44">
        <v>0</v>
      </c>
      <c r="V172" s="44">
        <v>0</v>
      </c>
      <c r="W172" s="44">
        <v>0</v>
      </c>
      <c r="X172" s="44">
        <v>0</v>
      </c>
      <c r="Y172" s="44">
        <v>0</v>
      </c>
      <c r="Z172" s="44">
        <v>0</v>
      </c>
      <c r="AA172" s="44">
        <v>32660.090290476248</v>
      </c>
      <c r="AB172" s="44">
        <v>0</v>
      </c>
      <c r="AC172" s="44">
        <v>140454.59834567687</v>
      </c>
      <c r="AD172" s="44">
        <v>0</v>
      </c>
      <c r="AE172" s="44">
        <v>0</v>
      </c>
      <c r="AF172" s="44">
        <v>0</v>
      </c>
      <c r="AG172" s="44">
        <v>138243.54</v>
      </c>
      <c r="AH172" s="44">
        <v>0</v>
      </c>
      <c r="AI172" s="44">
        <v>0</v>
      </c>
      <c r="AJ172" s="44">
        <v>0</v>
      </c>
      <c r="AK172" s="44">
        <v>4981.9657999999999</v>
      </c>
      <c r="AL172" s="44">
        <v>0</v>
      </c>
      <c r="AM172" s="44">
        <v>0</v>
      </c>
      <c r="AN172" s="44">
        <v>0</v>
      </c>
      <c r="AO172" s="44">
        <v>0</v>
      </c>
      <c r="AP172" s="44">
        <v>0</v>
      </c>
      <c r="AQ172" s="44">
        <v>0</v>
      </c>
      <c r="AR172" s="44">
        <v>0</v>
      </c>
      <c r="AS172" s="44">
        <v>0</v>
      </c>
      <c r="AT172" s="44">
        <v>1497716.5893999999</v>
      </c>
      <c r="AU172" s="44">
        <v>349160.43443615327</v>
      </c>
      <c r="AV172" s="44">
        <v>143225.50580000001</v>
      </c>
      <c r="AW172" s="44">
        <v>303363.30071567686</v>
      </c>
      <c r="AX172" s="62">
        <v>1990102.529636153</v>
      </c>
      <c r="AY172" s="62">
        <v>1985120.5638361531</v>
      </c>
      <c r="AZ172" s="62">
        <v>4610</v>
      </c>
      <c r="BA172" s="62">
        <v>1931590</v>
      </c>
      <c r="BB172" s="62">
        <v>0</v>
      </c>
      <c r="BC172" s="62">
        <v>0</v>
      </c>
      <c r="BD172" s="62">
        <v>1990102.529636153</v>
      </c>
      <c r="BE172" s="44">
        <v>1990102.5296361533</v>
      </c>
      <c r="BF172" s="44">
        <v>0</v>
      </c>
      <c r="BG172" s="62">
        <v>1936571.9657999999</v>
      </c>
      <c r="BH172" s="62">
        <v>1793346.46</v>
      </c>
      <c r="BI172" s="44">
        <v>1846877.0238361531</v>
      </c>
      <c r="BJ172" s="44">
        <v>4407.8210592748283</v>
      </c>
      <c r="BK172" s="44">
        <v>4349.9469547619046</v>
      </c>
      <c r="BL172" s="45">
        <v>1.3304554081876471E-2</v>
      </c>
      <c r="BM172" s="45">
        <v>0</v>
      </c>
      <c r="BN172" s="44">
        <v>0</v>
      </c>
      <c r="BO172" s="62">
        <v>1990102.529636153</v>
      </c>
      <c r="BP172" s="62">
        <v>4737.757908916833</v>
      </c>
      <c r="BQ172" s="62" t="s">
        <v>92</v>
      </c>
      <c r="BR172" s="62">
        <v>4749.6480420910575</v>
      </c>
      <c r="BS172" s="53">
        <v>9.8423269586813689E-3</v>
      </c>
      <c r="BT172" s="44">
        <v>0</v>
      </c>
      <c r="BU172" s="44">
        <v>1990102.529636153</v>
      </c>
      <c r="BV172" s="44">
        <v>0</v>
      </c>
      <c r="BW172" s="44">
        <v>1990102.529636153</v>
      </c>
      <c r="BX172" s="44">
        <v>4981.9657999999999</v>
      </c>
      <c r="BY172" s="44">
        <v>1985120.5638361531</v>
      </c>
    </row>
    <row r="173" spans="1:77">
      <c r="A173">
        <v>0</v>
      </c>
      <c r="B173" s="60">
        <v>138194</v>
      </c>
      <c r="C173" s="60">
        <v>3302036</v>
      </c>
      <c r="D173" s="61" t="s">
        <v>880</v>
      </c>
      <c r="E173" s="52">
        <v>284</v>
      </c>
      <c r="F173" s="52">
        <v>284</v>
      </c>
      <c r="G173" s="52">
        <v>0</v>
      </c>
      <c r="H173" s="44">
        <v>1015158.7383999999</v>
      </c>
      <c r="I173" s="44">
        <v>0</v>
      </c>
      <c r="J173" s="44">
        <v>0</v>
      </c>
      <c r="K173" s="44">
        <v>57039.508399999984</v>
      </c>
      <c r="L173" s="44">
        <v>0</v>
      </c>
      <c r="M173" s="44">
        <v>103682.65320000002</v>
      </c>
      <c r="N173" s="44">
        <v>0</v>
      </c>
      <c r="O173" s="44">
        <v>10847.940799999968</v>
      </c>
      <c r="P173" s="44">
        <v>2002.0021000000029</v>
      </c>
      <c r="Q173" s="44">
        <v>3572.4951999999948</v>
      </c>
      <c r="R173" s="44">
        <v>92473.436999999962</v>
      </c>
      <c r="S173" s="44">
        <v>11369.767200000006</v>
      </c>
      <c r="T173" s="44">
        <v>4094.3208000000031</v>
      </c>
      <c r="U173" s="44">
        <v>0</v>
      </c>
      <c r="V173" s="44">
        <v>0</v>
      </c>
      <c r="W173" s="44">
        <v>0</v>
      </c>
      <c r="X173" s="44">
        <v>0</v>
      </c>
      <c r="Y173" s="44">
        <v>0</v>
      </c>
      <c r="Z173" s="44">
        <v>0</v>
      </c>
      <c r="AA173" s="44">
        <v>46453.375982879435</v>
      </c>
      <c r="AB173" s="44">
        <v>0</v>
      </c>
      <c r="AC173" s="44">
        <v>114948.72546666666</v>
      </c>
      <c r="AD173" s="44">
        <v>0</v>
      </c>
      <c r="AE173" s="44">
        <v>12587.394001865672</v>
      </c>
      <c r="AF173" s="44">
        <v>0</v>
      </c>
      <c r="AG173" s="44">
        <v>138243.54</v>
      </c>
      <c r="AH173" s="44">
        <v>0</v>
      </c>
      <c r="AI173" s="44">
        <v>0</v>
      </c>
      <c r="AJ173" s="44">
        <v>0</v>
      </c>
      <c r="AK173" s="44">
        <v>4398.9754999999996</v>
      </c>
      <c r="AL173" s="44">
        <v>0</v>
      </c>
      <c r="AM173" s="44">
        <v>0</v>
      </c>
      <c r="AN173" s="44">
        <v>0</v>
      </c>
      <c r="AO173" s="44">
        <v>0</v>
      </c>
      <c r="AP173" s="44">
        <v>0</v>
      </c>
      <c r="AQ173" s="44">
        <v>0</v>
      </c>
      <c r="AR173" s="44">
        <v>0</v>
      </c>
      <c r="AS173" s="44">
        <v>0</v>
      </c>
      <c r="AT173" s="44">
        <v>1015158.7383999999</v>
      </c>
      <c r="AU173" s="44">
        <v>459071.62015141163</v>
      </c>
      <c r="AV173" s="44">
        <v>142642.51550000001</v>
      </c>
      <c r="AW173" s="44">
        <v>308247.72473666666</v>
      </c>
      <c r="AX173" s="62">
        <v>1616872.8740514114</v>
      </c>
      <c r="AY173" s="62">
        <v>1612473.8985514115</v>
      </c>
      <c r="AZ173" s="62">
        <v>4610</v>
      </c>
      <c r="BA173" s="62">
        <v>1309240</v>
      </c>
      <c r="BB173" s="62">
        <v>0</v>
      </c>
      <c r="BC173" s="62">
        <v>0</v>
      </c>
      <c r="BD173" s="62">
        <v>1616872.8740514114</v>
      </c>
      <c r="BE173" s="44">
        <v>1616872.8740514119</v>
      </c>
      <c r="BF173" s="44">
        <v>0</v>
      </c>
      <c r="BG173" s="62">
        <v>1313638.9754999999</v>
      </c>
      <c r="BH173" s="62">
        <v>1170996.46</v>
      </c>
      <c r="BI173" s="44">
        <v>1474230.3585514114</v>
      </c>
      <c r="BJ173" s="44">
        <v>5190.9519667303221</v>
      </c>
      <c r="BK173" s="44">
        <v>5105.255887974683</v>
      </c>
      <c r="BL173" s="45">
        <v>1.678585376249098E-2</v>
      </c>
      <c r="BM173" s="45">
        <v>0</v>
      </c>
      <c r="BN173" s="44">
        <v>0</v>
      </c>
      <c r="BO173" s="62">
        <v>1616872.8740514114</v>
      </c>
      <c r="BP173" s="62">
        <v>5677.7249948993358</v>
      </c>
      <c r="BQ173" s="62" t="s">
        <v>92</v>
      </c>
      <c r="BR173" s="62">
        <v>5693.2143452514483</v>
      </c>
      <c r="BS173" s="53">
        <v>2.4320144073177064E-2</v>
      </c>
      <c r="BT173" s="44">
        <v>0</v>
      </c>
      <c r="BU173" s="44">
        <v>1616872.8740514114</v>
      </c>
      <c r="BV173" s="44">
        <v>0</v>
      </c>
      <c r="BW173" s="44">
        <v>1616872.8740514114</v>
      </c>
      <c r="BX173" s="44">
        <v>4398.9754999999996</v>
      </c>
      <c r="BY173" s="44">
        <v>1612473.8985514115</v>
      </c>
    </row>
    <row r="174" spans="1:77">
      <c r="A174">
        <v>0</v>
      </c>
      <c r="B174" s="60">
        <v>138590</v>
      </c>
      <c r="C174" s="60">
        <v>3302037</v>
      </c>
      <c r="D174" s="61" t="s">
        <v>881</v>
      </c>
      <c r="E174" s="52">
        <v>415</v>
      </c>
      <c r="F174" s="52">
        <v>415</v>
      </c>
      <c r="G174" s="52">
        <v>0</v>
      </c>
      <c r="H174" s="44">
        <v>1483418.5789999999</v>
      </c>
      <c r="I174" s="44">
        <v>0</v>
      </c>
      <c r="J174" s="44">
        <v>0</v>
      </c>
      <c r="K174" s="44">
        <v>94901.940699999919</v>
      </c>
      <c r="L174" s="44">
        <v>0</v>
      </c>
      <c r="M174" s="44">
        <v>162929.88360000006</v>
      </c>
      <c r="N174" s="44">
        <v>0</v>
      </c>
      <c r="O174" s="44">
        <v>11083.765600000024</v>
      </c>
      <c r="P174" s="44">
        <v>36894.038700000005</v>
      </c>
      <c r="Q174" s="44">
        <v>30812.771100000024</v>
      </c>
      <c r="R174" s="44">
        <v>58890.97830000001</v>
      </c>
      <c r="S174" s="44">
        <v>10336.152000000011</v>
      </c>
      <c r="T174" s="44">
        <v>5459.0943999999881</v>
      </c>
      <c r="U174" s="44">
        <v>0</v>
      </c>
      <c r="V174" s="44">
        <v>0</v>
      </c>
      <c r="W174" s="44">
        <v>0</v>
      </c>
      <c r="X174" s="44">
        <v>0</v>
      </c>
      <c r="Y174" s="44">
        <v>0</v>
      </c>
      <c r="Z174" s="44">
        <v>0</v>
      </c>
      <c r="AA174" s="44">
        <v>47757.606257746585</v>
      </c>
      <c r="AB174" s="44">
        <v>0</v>
      </c>
      <c r="AC174" s="44">
        <v>133063.30820292202</v>
      </c>
      <c r="AD174" s="44">
        <v>0</v>
      </c>
      <c r="AE174" s="44">
        <v>0</v>
      </c>
      <c r="AF174" s="44">
        <v>0</v>
      </c>
      <c r="AG174" s="44">
        <v>138243.54</v>
      </c>
      <c r="AH174" s="44">
        <v>0</v>
      </c>
      <c r="AI174" s="44">
        <v>0</v>
      </c>
      <c r="AJ174" s="44">
        <v>0</v>
      </c>
      <c r="AK174" s="44">
        <v>69429.580799999996</v>
      </c>
      <c r="AL174" s="44">
        <v>0</v>
      </c>
      <c r="AM174" s="44">
        <v>0</v>
      </c>
      <c r="AN174" s="44">
        <v>0</v>
      </c>
      <c r="AO174" s="44">
        <v>0</v>
      </c>
      <c r="AP174" s="44">
        <v>0</v>
      </c>
      <c r="AQ174" s="44">
        <v>0</v>
      </c>
      <c r="AR174" s="44">
        <v>0</v>
      </c>
      <c r="AS174" s="44">
        <v>0</v>
      </c>
      <c r="AT174" s="44">
        <v>1483418.5789999999</v>
      </c>
      <c r="AU174" s="44">
        <v>592129.53886066866</v>
      </c>
      <c r="AV174" s="44">
        <v>207673.1208</v>
      </c>
      <c r="AW174" s="44">
        <v>412888.54935292201</v>
      </c>
      <c r="AX174" s="62">
        <v>2283221.2386606685</v>
      </c>
      <c r="AY174" s="62">
        <v>2213791.6578606684</v>
      </c>
      <c r="AZ174" s="62">
        <v>4610</v>
      </c>
      <c r="BA174" s="62">
        <v>1913150</v>
      </c>
      <c r="BB174" s="62">
        <v>0</v>
      </c>
      <c r="BC174" s="62">
        <v>0</v>
      </c>
      <c r="BD174" s="62">
        <v>2283221.2386606685</v>
      </c>
      <c r="BE174" s="44">
        <v>2283221.238660669</v>
      </c>
      <c r="BF174" s="44">
        <v>0</v>
      </c>
      <c r="BG174" s="62">
        <v>1982579.5808000001</v>
      </c>
      <c r="BH174" s="62">
        <v>1774906.46</v>
      </c>
      <c r="BI174" s="44">
        <v>2075548.1178606683</v>
      </c>
      <c r="BJ174" s="44">
        <v>5001.3207659293212</v>
      </c>
      <c r="BK174" s="44">
        <v>4924.5909399999991</v>
      </c>
      <c r="BL174" s="45">
        <v>1.5580954208010228E-2</v>
      </c>
      <c r="BM174" s="45">
        <v>0</v>
      </c>
      <c r="BN174" s="44">
        <v>0</v>
      </c>
      <c r="BO174" s="62">
        <v>2283221.2386606685</v>
      </c>
      <c r="BP174" s="62">
        <v>5334.4377297847432</v>
      </c>
      <c r="BQ174" s="62" t="s">
        <v>92</v>
      </c>
      <c r="BR174" s="62">
        <v>5501.7379244835383</v>
      </c>
      <c r="BS174" s="53">
        <v>4.5180667393432739E-2</v>
      </c>
      <c r="BT174" s="44">
        <v>0</v>
      </c>
      <c r="BU174" s="44">
        <v>2283221.2386606685</v>
      </c>
      <c r="BV174" s="44">
        <v>0</v>
      </c>
      <c r="BW174" s="44">
        <v>2283221.2386606685</v>
      </c>
      <c r="BX174" s="44">
        <v>69429.580799999996</v>
      </c>
      <c r="BY174" s="44">
        <v>2213791.6578606684</v>
      </c>
    </row>
    <row r="175" spans="1:77">
      <c r="A175">
        <v>0</v>
      </c>
      <c r="B175" s="60">
        <v>138799</v>
      </c>
      <c r="C175" s="60">
        <v>3302038</v>
      </c>
      <c r="D175" s="61" t="s">
        <v>882</v>
      </c>
      <c r="E175" s="52">
        <v>626</v>
      </c>
      <c r="F175" s="52">
        <v>626</v>
      </c>
      <c r="G175" s="52">
        <v>0</v>
      </c>
      <c r="H175" s="44">
        <v>2237638.6275999998</v>
      </c>
      <c r="I175" s="44">
        <v>0</v>
      </c>
      <c r="J175" s="44">
        <v>0</v>
      </c>
      <c r="K175" s="44">
        <v>139648.45160000006</v>
      </c>
      <c r="L175" s="44">
        <v>0</v>
      </c>
      <c r="M175" s="44">
        <v>238634.67799999999</v>
      </c>
      <c r="N175" s="44">
        <v>0</v>
      </c>
      <c r="O175" s="44">
        <v>707.47440000000051</v>
      </c>
      <c r="P175" s="44">
        <v>31460.033000000069</v>
      </c>
      <c r="Q175" s="44">
        <v>69663.656400000124</v>
      </c>
      <c r="R175" s="44">
        <v>66678.215099999987</v>
      </c>
      <c r="S175" s="44">
        <v>106979.17320000003</v>
      </c>
      <c r="T175" s="44">
        <v>2047.1604000000016</v>
      </c>
      <c r="U175" s="44">
        <v>0</v>
      </c>
      <c r="V175" s="44">
        <v>0</v>
      </c>
      <c r="W175" s="44">
        <v>0</v>
      </c>
      <c r="X175" s="44">
        <v>0</v>
      </c>
      <c r="Y175" s="44">
        <v>0</v>
      </c>
      <c r="Z175" s="44">
        <v>0</v>
      </c>
      <c r="AA175" s="44">
        <v>142903.81683908447</v>
      </c>
      <c r="AB175" s="44">
        <v>0</v>
      </c>
      <c r="AC175" s="44">
        <v>247516.57304311937</v>
      </c>
      <c r="AD175" s="44">
        <v>0</v>
      </c>
      <c r="AE175" s="44">
        <v>13423.15693625805</v>
      </c>
      <c r="AF175" s="44">
        <v>0</v>
      </c>
      <c r="AG175" s="44">
        <v>138243.54</v>
      </c>
      <c r="AH175" s="44">
        <v>0</v>
      </c>
      <c r="AI175" s="44">
        <v>0</v>
      </c>
      <c r="AJ175" s="44">
        <v>0</v>
      </c>
      <c r="AK175" s="44">
        <v>6198.4781999999996</v>
      </c>
      <c r="AL175" s="44">
        <v>0</v>
      </c>
      <c r="AM175" s="44">
        <v>0</v>
      </c>
      <c r="AN175" s="44">
        <v>0</v>
      </c>
      <c r="AO175" s="44">
        <v>0</v>
      </c>
      <c r="AP175" s="44">
        <v>0</v>
      </c>
      <c r="AQ175" s="44">
        <v>0</v>
      </c>
      <c r="AR175" s="44">
        <v>0</v>
      </c>
      <c r="AS175" s="44">
        <v>0</v>
      </c>
      <c r="AT175" s="44">
        <v>2237638.6275999998</v>
      </c>
      <c r="AU175" s="44">
        <v>1059662.3889184622</v>
      </c>
      <c r="AV175" s="44">
        <v>144442.01820000002</v>
      </c>
      <c r="AW175" s="44">
        <v>687307.92547311948</v>
      </c>
      <c r="AX175" s="62">
        <v>3441743.0347184618</v>
      </c>
      <c r="AY175" s="62">
        <v>3435544.556518462</v>
      </c>
      <c r="AZ175" s="62">
        <v>4610</v>
      </c>
      <c r="BA175" s="62">
        <v>2885860</v>
      </c>
      <c r="BB175" s="62">
        <v>0</v>
      </c>
      <c r="BC175" s="62">
        <v>0</v>
      </c>
      <c r="BD175" s="62">
        <v>3441743.0347184618</v>
      </c>
      <c r="BE175" s="44">
        <v>3441743.0347184623</v>
      </c>
      <c r="BF175" s="44">
        <v>0</v>
      </c>
      <c r="BG175" s="62">
        <v>2892058.4781999998</v>
      </c>
      <c r="BH175" s="62">
        <v>2747616.46</v>
      </c>
      <c r="BI175" s="44">
        <v>3297301.016518462</v>
      </c>
      <c r="BJ175" s="44">
        <v>5267.2540199975429</v>
      </c>
      <c r="BK175" s="44">
        <v>5202.7980171091449</v>
      </c>
      <c r="BL175" s="45">
        <v>1.2388719046258873E-2</v>
      </c>
      <c r="BM175" s="45">
        <v>0</v>
      </c>
      <c r="BN175" s="44">
        <v>0</v>
      </c>
      <c r="BO175" s="62">
        <v>3441743.0347184618</v>
      </c>
      <c r="BP175" s="62">
        <v>5488.0903458761377</v>
      </c>
      <c r="BQ175" s="62" t="s">
        <v>92</v>
      </c>
      <c r="BR175" s="62">
        <v>5497.9920682403545</v>
      </c>
      <c r="BS175" s="53">
        <v>-1.4757875654982655E-3</v>
      </c>
      <c r="BT175" s="44">
        <v>0</v>
      </c>
      <c r="BU175" s="44">
        <v>3441743.0347184618</v>
      </c>
      <c r="BV175" s="44">
        <v>0</v>
      </c>
      <c r="BW175" s="44">
        <v>3441743.0347184618</v>
      </c>
      <c r="BX175" s="44">
        <v>6198.4781999999996</v>
      </c>
      <c r="BY175" s="44">
        <v>3435544.556518462</v>
      </c>
    </row>
    <row r="176" spans="1:77">
      <c r="A176">
        <v>0</v>
      </c>
      <c r="B176" s="60">
        <v>143942</v>
      </c>
      <c r="C176" s="60">
        <v>3302039</v>
      </c>
      <c r="D176" s="61" t="s">
        <v>883</v>
      </c>
      <c r="E176" s="52">
        <v>429</v>
      </c>
      <c r="F176" s="52">
        <v>429</v>
      </c>
      <c r="G176" s="52">
        <v>0</v>
      </c>
      <c r="H176" s="44">
        <v>1533461.6154</v>
      </c>
      <c r="I176" s="44">
        <v>0</v>
      </c>
      <c r="J176" s="44">
        <v>0</v>
      </c>
      <c r="K176" s="44">
        <v>78183.464100000085</v>
      </c>
      <c r="L176" s="44">
        <v>0</v>
      </c>
      <c r="M176" s="44">
        <v>134952.0247999999</v>
      </c>
      <c r="N176" s="44">
        <v>0</v>
      </c>
      <c r="O176" s="44">
        <v>41129.387899065383</v>
      </c>
      <c r="P176" s="44">
        <v>1433.3426249999993</v>
      </c>
      <c r="Q176" s="44">
        <v>94892.317012149462</v>
      </c>
      <c r="R176" s="44">
        <v>11708.146917757011</v>
      </c>
      <c r="S176" s="44">
        <v>2590.0754719626157</v>
      </c>
      <c r="T176" s="44">
        <v>683.9811616822426</v>
      </c>
      <c r="U176" s="44">
        <v>0</v>
      </c>
      <c r="V176" s="44">
        <v>0</v>
      </c>
      <c r="W176" s="44">
        <v>0</v>
      </c>
      <c r="X176" s="44">
        <v>0</v>
      </c>
      <c r="Y176" s="44">
        <v>0</v>
      </c>
      <c r="Z176" s="44">
        <v>0</v>
      </c>
      <c r="AA176" s="44">
        <v>49560.666556097523</v>
      </c>
      <c r="AB176" s="44">
        <v>0</v>
      </c>
      <c r="AC176" s="44">
        <v>159487.13685198035</v>
      </c>
      <c r="AD176" s="44">
        <v>0</v>
      </c>
      <c r="AE176" s="44">
        <v>0</v>
      </c>
      <c r="AF176" s="44">
        <v>0</v>
      </c>
      <c r="AG176" s="44">
        <v>138243.54</v>
      </c>
      <c r="AH176" s="44">
        <v>0</v>
      </c>
      <c r="AI176" s="44">
        <v>0</v>
      </c>
      <c r="AJ176" s="44">
        <v>0</v>
      </c>
      <c r="AK176" s="44">
        <v>5411.8465999999999</v>
      </c>
      <c r="AL176" s="44">
        <v>0</v>
      </c>
      <c r="AM176" s="44">
        <v>0</v>
      </c>
      <c r="AN176" s="44">
        <v>0</v>
      </c>
      <c r="AO176" s="44">
        <v>0</v>
      </c>
      <c r="AP176" s="44">
        <v>0</v>
      </c>
      <c r="AQ176" s="44">
        <v>0</v>
      </c>
      <c r="AR176" s="44">
        <v>0</v>
      </c>
      <c r="AS176" s="44">
        <v>0</v>
      </c>
      <c r="AT176" s="44">
        <v>1533461.6154</v>
      </c>
      <c r="AU176" s="44">
        <v>574620.54339569458</v>
      </c>
      <c r="AV176" s="44">
        <v>143655.3866</v>
      </c>
      <c r="AW176" s="44">
        <v>418946.58761578868</v>
      </c>
      <c r="AX176" s="62">
        <v>2251737.5453956947</v>
      </c>
      <c r="AY176" s="62">
        <v>2246325.6987956949</v>
      </c>
      <c r="AZ176" s="62">
        <v>4610</v>
      </c>
      <c r="BA176" s="62">
        <v>1977690</v>
      </c>
      <c r="BB176" s="62">
        <v>0</v>
      </c>
      <c r="BC176" s="62">
        <v>0</v>
      </c>
      <c r="BD176" s="62">
        <v>2251737.5453956947</v>
      </c>
      <c r="BE176" s="44">
        <v>2251737.5453956942</v>
      </c>
      <c r="BF176" s="44">
        <v>0</v>
      </c>
      <c r="BG176" s="62">
        <v>1983101.8466</v>
      </c>
      <c r="BH176" s="62">
        <v>1839446.46</v>
      </c>
      <c r="BI176" s="44">
        <v>2108082.1587956948</v>
      </c>
      <c r="BJ176" s="44">
        <v>4913.9444260971904</v>
      </c>
      <c r="BK176" s="44">
        <v>4696.386686352942</v>
      </c>
      <c r="BL176" s="45">
        <v>4.6324494611238366E-2</v>
      </c>
      <c r="BM176" s="45">
        <v>0</v>
      </c>
      <c r="BN176" s="44">
        <v>0</v>
      </c>
      <c r="BO176" s="62">
        <v>2251737.5453956947</v>
      </c>
      <c r="BP176" s="62">
        <v>5236.1904400832045</v>
      </c>
      <c r="BQ176" s="62" t="s">
        <v>92</v>
      </c>
      <c r="BR176" s="62">
        <v>5248.805467122831</v>
      </c>
      <c r="BS176" s="53">
        <v>4.2292967830518391E-2</v>
      </c>
      <c r="BT176" s="44">
        <v>0</v>
      </c>
      <c r="BU176" s="44">
        <v>2251737.5453956947</v>
      </c>
      <c r="BV176" s="44">
        <v>0</v>
      </c>
      <c r="BW176" s="44">
        <v>2251737.5453956947</v>
      </c>
      <c r="BX176" s="44">
        <v>5411.8465999999999</v>
      </c>
      <c r="BY176" s="44">
        <v>2246325.6987956949</v>
      </c>
    </row>
    <row r="177" spans="1:77">
      <c r="A177">
        <v>0</v>
      </c>
      <c r="B177" s="60">
        <v>138395</v>
      </c>
      <c r="C177" s="60">
        <v>3302047</v>
      </c>
      <c r="D177" s="61" t="s">
        <v>884</v>
      </c>
      <c r="E177" s="52">
        <v>392</v>
      </c>
      <c r="F177" s="52">
        <v>392</v>
      </c>
      <c r="G177" s="52">
        <v>0</v>
      </c>
      <c r="H177" s="44">
        <v>1401205.0192</v>
      </c>
      <c r="I177" s="44">
        <v>0</v>
      </c>
      <c r="J177" s="44">
        <v>0</v>
      </c>
      <c r="K177" s="44">
        <v>120963.09539999996</v>
      </c>
      <c r="L177" s="44">
        <v>0</v>
      </c>
      <c r="M177" s="44">
        <v>208188.18459999998</v>
      </c>
      <c r="N177" s="44">
        <v>0</v>
      </c>
      <c r="O177" s="44">
        <v>707.4744000000004</v>
      </c>
      <c r="P177" s="44">
        <v>1430.0014999999971</v>
      </c>
      <c r="Q177" s="44">
        <v>5805.3047000000088</v>
      </c>
      <c r="R177" s="44">
        <v>22875.008099999908</v>
      </c>
      <c r="S177" s="44">
        <v>57365.643599999908</v>
      </c>
      <c r="T177" s="44">
        <v>141936.45439999993</v>
      </c>
      <c r="U177" s="44">
        <v>0</v>
      </c>
      <c r="V177" s="44">
        <v>0</v>
      </c>
      <c r="W177" s="44">
        <v>0</v>
      </c>
      <c r="X177" s="44">
        <v>0</v>
      </c>
      <c r="Y177" s="44">
        <v>0</v>
      </c>
      <c r="Z177" s="44">
        <v>0</v>
      </c>
      <c r="AA177" s="44">
        <v>95894.213791616829</v>
      </c>
      <c r="AB177" s="44">
        <v>0</v>
      </c>
      <c r="AC177" s="44">
        <v>174140.63453313542</v>
      </c>
      <c r="AD177" s="44">
        <v>0</v>
      </c>
      <c r="AE177" s="44">
        <v>21656.548607999925</v>
      </c>
      <c r="AF177" s="44">
        <v>0</v>
      </c>
      <c r="AG177" s="44">
        <v>138243.54</v>
      </c>
      <c r="AH177" s="44">
        <v>0</v>
      </c>
      <c r="AI177" s="44">
        <v>0</v>
      </c>
      <c r="AJ177" s="44">
        <v>0</v>
      </c>
      <c r="AK177" s="44">
        <v>3285.9780999999998</v>
      </c>
      <c r="AL177" s="44">
        <v>0</v>
      </c>
      <c r="AM177" s="44">
        <v>0</v>
      </c>
      <c r="AN177" s="44">
        <v>0</v>
      </c>
      <c r="AO177" s="44">
        <v>0</v>
      </c>
      <c r="AP177" s="44">
        <v>0</v>
      </c>
      <c r="AQ177" s="44">
        <v>0</v>
      </c>
      <c r="AR177" s="44">
        <v>0</v>
      </c>
      <c r="AS177" s="44">
        <v>0</v>
      </c>
      <c r="AT177" s="44">
        <v>1401205.0192</v>
      </c>
      <c r="AU177" s="44">
        <v>850962.56363275193</v>
      </c>
      <c r="AV177" s="44">
        <v>141529.51810000002</v>
      </c>
      <c r="AW177" s="44">
        <v>523836.46884313528</v>
      </c>
      <c r="AX177" s="62">
        <v>2393697.1009327518</v>
      </c>
      <c r="AY177" s="62">
        <v>2390411.1228327518</v>
      </c>
      <c r="AZ177" s="62">
        <v>4610</v>
      </c>
      <c r="BA177" s="62">
        <v>1807120</v>
      </c>
      <c r="BB177" s="62">
        <v>0</v>
      </c>
      <c r="BC177" s="62">
        <v>0</v>
      </c>
      <c r="BD177" s="62">
        <v>2393697.1009327518</v>
      </c>
      <c r="BE177" s="44">
        <v>2393697.1009327518</v>
      </c>
      <c r="BF177" s="44">
        <v>0</v>
      </c>
      <c r="BG177" s="62">
        <v>1810405.9780999999</v>
      </c>
      <c r="BH177" s="62">
        <v>1668876.46</v>
      </c>
      <c r="BI177" s="44">
        <v>2252167.5828327518</v>
      </c>
      <c r="BJ177" s="44">
        <v>5745.3254664100814</v>
      </c>
      <c r="BK177" s="44">
        <v>5608.3206217721518</v>
      </c>
      <c r="BL177" s="45">
        <v>2.4428853818745832E-2</v>
      </c>
      <c r="BM177" s="45">
        <v>0</v>
      </c>
      <c r="BN177" s="44">
        <v>0</v>
      </c>
      <c r="BO177" s="62">
        <v>2393697.1009327518</v>
      </c>
      <c r="BP177" s="62">
        <v>6097.9875582468158</v>
      </c>
      <c r="BQ177" s="62" t="s">
        <v>92</v>
      </c>
      <c r="BR177" s="62">
        <v>6106.3701554406935</v>
      </c>
      <c r="BS177" s="53">
        <v>2.2567474022931355E-2</v>
      </c>
      <c r="BT177" s="44">
        <v>0</v>
      </c>
      <c r="BU177" s="44">
        <v>2393697.1009327518</v>
      </c>
      <c r="BV177" s="44">
        <v>0</v>
      </c>
      <c r="BW177" s="44">
        <v>2393697.1009327518</v>
      </c>
      <c r="BX177" s="44">
        <v>3285.9780999999998</v>
      </c>
      <c r="BY177" s="44">
        <v>2390411.1228327518</v>
      </c>
    </row>
    <row r="178" spans="1:77">
      <c r="A178">
        <v>0</v>
      </c>
      <c r="B178" s="60">
        <v>138396</v>
      </c>
      <c r="C178" s="60">
        <v>3302048</v>
      </c>
      <c r="D178" s="61" t="s">
        <v>885</v>
      </c>
      <c r="E178" s="52">
        <v>201</v>
      </c>
      <c r="F178" s="52">
        <v>201</v>
      </c>
      <c r="G178" s="52">
        <v>0</v>
      </c>
      <c r="H178" s="44">
        <v>718475.02259999991</v>
      </c>
      <c r="I178" s="44">
        <v>0</v>
      </c>
      <c r="J178" s="44">
        <v>0</v>
      </c>
      <c r="K178" s="44">
        <v>54089.189000000013</v>
      </c>
      <c r="L178" s="44">
        <v>0</v>
      </c>
      <c r="M178" s="44">
        <v>94630.992999999988</v>
      </c>
      <c r="N178" s="44">
        <v>0</v>
      </c>
      <c r="O178" s="44">
        <v>1179.1240000000016</v>
      </c>
      <c r="P178" s="44">
        <v>572.00060000000019</v>
      </c>
      <c r="Q178" s="44">
        <v>3572.495199999998</v>
      </c>
      <c r="R178" s="44">
        <v>24335.115000000034</v>
      </c>
      <c r="S178" s="44">
        <v>69252.218400000027</v>
      </c>
      <c r="T178" s="44">
        <v>0</v>
      </c>
      <c r="U178" s="44">
        <v>0</v>
      </c>
      <c r="V178" s="44">
        <v>0</v>
      </c>
      <c r="W178" s="44">
        <v>0</v>
      </c>
      <c r="X178" s="44">
        <v>0</v>
      </c>
      <c r="Y178" s="44">
        <v>0</v>
      </c>
      <c r="Z178" s="44">
        <v>0</v>
      </c>
      <c r="AA178" s="44">
        <v>49360.547248295428</v>
      </c>
      <c r="AB178" s="44">
        <v>0</v>
      </c>
      <c r="AC178" s="44">
        <v>85585.117655105452</v>
      </c>
      <c r="AD178" s="44">
        <v>0</v>
      </c>
      <c r="AE178" s="44">
        <v>8612.5242240000971</v>
      </c>
      <c r="AF178" s="44">
        <v>0</v>
      </c>
      <c r="AG178" s="44">
        <v>138243.54</v>
      </c>
      <c r="AH178" s="44">
        <v>0</v>
      </c>
      <c r="AI178" s="44">
        <v>0</v>
      </c>
      <c r="AJ178" s="44">
        <v>0</v>
      </c>
      <c r="AK178" s="44">
        <v>5299.9679999999998</v>
      </c>
      <c r="AL178" s="44">
        <v>0</v>
      </c>
      <c r="AM178" s="44">
        <v>0</v>
      </c>
      <c r="AN178" s="44">
        <v>0</v>
      </c>
      <c r="AO178" s="44">
        <v>0</v>
      </c>
      <c r="AP178" s="44">
        <v>0</v>
      </c>
      <c r="AQ178" s="44">
        <v>0</v>
      </c>
      <c r="AR178" s="44">
        <v>0</v>
      </c>
      <c r="AS178" s="44">
        <v>0</v>
      </c>
      <c r="AT178" s="44">
        <v>718475.02259999991</v>
      </c>
      <c r="AU178" s="44">
        <v>391189.32432740106</v>
      </c>
      <c r="AV178" s="44">
        <v>143543.508</v>
      </c>
      <c r="AW178" s="44">
        <v>245324.43638510548</v>
      </c>
      <c r="AX178" s="62">
        <v>1253207.8549274008</v>
      </c>
      <c r="AY178" s="62">
        <v>1247907.8869274007</v>
      </c>
      <c r="AZ178" s="62">
        <v>4610</v>
      </c>
      <c r="BA178" s="62">
        <v>926610</v>
      </c>
      <c r="BB178" s="62">
        <v>0</v>
      </c>
      <c r="BC178" s="62">
        <v>0</v>
      </c>
      <c r="BD178" s="62">
        <v>1253207.8549274008</v>
      </c>
      <c r="BE178" s="44">
        <v>1253207.8549274008</v>
      </c>
      <c r="BF178" s="44">
        <v>0</v>
      </c>
      <c r="BG178" s="62">
        <v>931909.96799999999</v>
      </c>
      <c r="BH178" s="62">
        <v>788366.46</v>
      </c>
      <c r="BI178" s="44">
        <v>1109664.3469274007</v>
      </c>
      <c r="BJ178" s="44">
        <v>5520.7181439174165</v>
      </c>
      <c r="BK178" s="44">
        <v>5662.0181340101517</v>
      </c>
      <c r="BL178" s="45">
        <v>-2.4955764313785204E-2</v>
      </c>
      <c r="BM178" s="45">
        <v>2.9955764313785205E-2</v>
      </c>
      <c r="BN178" s="44">
        <v>34091.626233319985</v>
      </c>
      <c r="BO178" s="62">
        <v>1287299.4811607208</v>
      </c>
      <c r="BP178" s="62">
        <v>6378.1070306503516</v>
      </c>
      <c r="BQ178" s="62" t="s">
        <v>92</v>
      </c>
      <c r="BR178" s="62">
        <v>6404.475030650352</v>
      </c>
      <c r="BS178" s="53">
        <v>3.8430945024667817E-3</v>
      </c>
      <c r="BT178" s="44">
        <v>0</v>
      </c>
      <c r="BU178" s="44">
        <v>1287299.4811607208</v>
      </c>
      <c r="BV178" s="44">
        <v>0</v>
      </c>
      <c r="BW178" s="44">
        <v>1287299.4811607208</v>
      </c>
      <c r="BX178" s="44">
        <v>5299.9679999999998</v>
      </c>
      <c r="BY178" s="44">
        <v>1281999.5131607207</v>
      </c>
    </row>
    <row r="179" spans="1:77">
      <c r="A179">
        <v>0</v>
      </c>
      <c r="B179" s="60">
        <v>146696</v>
      </c>
      <c r="C179" s="60">
        <v>3302052</v>
      </c>
      <c r="D179" s="61" t="s">
        <v>886</v>
      </c>
      <c r="E179" s="52">
        <v>399</v>
      </c>
      <c r="F179" s="52">
        <v>399</v>
      </c>
      <c r="G179" s="52">
        <v>0</v>
      </c>
      <c r="H179" s="44">
        <v>1426226.5374</v>
      </c>
      <c r="I179" s="44">
        <v>0</v>
      </c>
      <c r="J179" s="44">
        <v>0</v>
      </c>
      <c r="K179" s="44">
        <v>111620.4173</v>
      </c>
      <c r="L179" s="44">
        <v>0</v>
      </c>
      <c r="M179" s="44">
        <v>194199.25520000013</v>
      </c>
      <c r="N179" s="44">
        <v>0</v>
      </c>
      <c r="O179" s="44">
        <v>12118.178927272749</v>
      </c>
      <c r="P179" s="44">
        <v>11238.511788636364</v>
      </c>
      <c r="Q179" s="44">
        <v>3599.5595575757575</v>
      </c>
      <c r="R179" s="44">
        <v>45606.217793181844</v>
      </c>
      <c r="S179" s="44">
        <v>52593.003718181812</v>
      </c>
      <c r="T179" s="44">
        <v>41940.940215151502</v>
      </c>
      <c r="U179" s="44">
        <v>0</v>
      </c>
      <c r="V179" s="44">
        <v>0</v>
      </c>
      <c r="W179" s="44">
        <v>0</v>
      </c>
      <c r="X179" s="44">
        <v>0</v>
      </c>
      <c r="Y179" s="44">
        <v>0</v>
      </c>
      <c r="Z179" s="44">
        <v>0</v>
      </c>
      <c r="AA179" s="44">
        <v>19915.268557848827</v>
      </c>
      <c r="AB179" s="44">
        <v>0</v>
      </c>
      <c r="AC179" s="44">
        <v>157636.49634590361</v>
      </c>
      <c r="AD179" s="44">
        <v>0</v>
      </c>
      <c r="AE179" s="44">
        <v>0</v>
      </c>
      <c r="AF179" s="44">
        <v>0</v>
      </c>
      <c r="AG179" s="44">
        <v>138243.54</v>
      </c>
      <c r="AH179" s="44">
        <v>0</v>
      </c>
      <c r="AI179" s="44">
        <v>0</v>
      </c>
      <c r="AJ179" s="44">
        <v>0</v>
      </c>
      <c r="AK179" s="44">
        <v>5564.9664000000002</v>
      </c>
      <c r="AL179" s="44">
        <v>0</v>
      </c>
      <c r="AM179" s="44">
        <v>0</v>
      </c>
      <c r="AN179" s="44">
        <v>0</v>
      </c>
      <c r="AO179" s="44">
        <v>0</v>
      </c>
      <c r="AP179" s="44">
        <v>0</v>
      </c>
      <c r="AQ179" s="44">
        <v>0</v>
      </c>
      <c r="AR179" s="44">
        <v>0</v>
      </c>
      <c r="AS179" s="44">
        <v>0</v>
      </c>
      <c r="AT179" s="44">
        <v>1426226.5374</v>
      </c>
      <c r="AU179" s="44">
        <v>650467.84940375248</v>
      </c>
      <c r="AV179" s="44">
        <v>143808.50640000001</v>
      </c>
      <c r="AW179" s="44">
        <v>465405.86546590371</v>
      </c>
      <c r="AX179" s="62">
        <v>2220502.8932037526</v>
      </c>
      <c r="AY179" s="62">
        <v>2214937.9268037528</v>
      </c>
      <c r="AZ179" s="62">
        <v>4610</v>
      </c>
      <c r="BA179" s="62">
        <v>1839390</v>
      </c>
      <c r="BB179" s="62">
        <v>0</v>
      </c>
      <c r="BC179" s="62">
        <v>0</v>
      </c>
      <c r="BD179" s="62">
        <v>2220502.8932037526</v>
      </c>
      <c r="BE179" s="44">
        <v>2220502.8932037526</v>
      </c>
      <c r="BF179" s="44">
        <v>0</v>
      </c>
      <c r="BG179" s="62">
        <v>1844954.9664</v>
      </c>
      <c r="BH179" s="62">
        <v>1701146.46</v>
      </c>
      <c r="BI179" s="44">
        <v>2076694.3868037525</v>
      </c>
      <c r="BJ179" s="44">
        <v>5204.7478366008836</v>
      </c>
      <c r="BK179" s="44">
        <v>5309.9974739999998</v>
      </c>
      <c r="BL179" s="45">
        <v>-1.982103342128938E-2</v>
      </c>
      <c r="BM179" s="45">
        <v>2.4821033421289381E-2</v>
      </c>
      <c r="BN179" s="44">
        <v>52588.050282877353</v>
      </c>
      <c r="BO179" s="62">
        <v>2273090.94348663</v>
      </c>
      <c r="BP179" s="62">
        <v>5683.0224989639855</v>
      </c>
      <c r="BQ179" s="62" t="s">
        <v>92</v>
      </c>
      <c r="BR179" s="62">
        <v>5696.9697831745116</v>
      </c>
      <c r="BS179" s="53">
        <v>5.0277160407536936E-3</v>
      </c>
      <c r="BT179" s="44">
        <v>0</v>
      </c>
      <c r="BU179" s="44">
        <v>2273090.94348663</v>
      </c>
      <c r="BV179" s="44">
        <v>0</v>
      </c>
      <c r="BW179" s="44">
        <v>2273090.94348663</v>
      </c>
      <c r="BX179" s="44">
        <v>5564.9664000000002</v>
      </c>
      <c r="BY179" s="44">
        <v>2267525.9770866302</v>
      </c>
    </row>
    <row r="180" spans="1:77">
      <c r="A180">
        <v>0</v>
      </c>
      <c r="B180" s="60">
        <v>138397</v>
      </c>
      <c r="C180" s="60">
        <v>3302056</v>
      </c>
      <c r="D180" s="61" t="s">
        <v>887</v>
      </c>
      <c r="E180" s="52">
        <v>406</v>
      </c>
      <c r="F180" s="52">
        <v>406</v>
      </c>
      <c r="G180" s="52">
        <v>0</v>
      </c>
      <c r="H180" s="44">
        <v>1451248.0555999998</v>
      </c>
      <c r="I180" s="44">
        <v>0</v>
      </c>
      <c r="J180" s="44">
        <v>0</v>
      </c>
      <c r="K180" s="44">
        <v>94410.220800000054</v>
      </c>
      <c r="L180" s="44">
        <v>0</v>
      </c>
      <c r="M180" s="44">
        <v>159638.37080000003</v>
      </c>
      <c r="N180" s="44">
        <v>0</v>
      </c>
      <c r="O180" s="44">
        <v>707.4743999999996</v>
      </c>
      <c r="P180" s="44">
        <v>25454.026700000057</v>
      </c>
      <c r="Q180" s="44">
        <v>13843.418900000006</v>
      </c>
      <c r="R180" s="44">
        <v>28228.733400000023</v>
      </c>
      <c r="S180" s="44">
        <v>82172.408400000044</v>
      </c>
      <c r="T180" s="44">
        <v>19106.830399999995</v>
      </c>
      <c r="U180" s="44">
        <v>0</v>
      </c>
      <c r="V180" s="44">
        <v>0</v>
      </c>
      <c r="W180" s="44">
        <v>0</v>
      </c>
      <c r="X180" s="44">
        <v>0</v>
      </c>
      <c r="Y180" s="44">
        <v>0</v>
      </c>
      <c r="Z180" s="44">
        <v>0</v>
      </c>
      <c r="AA180" s="44">
        <v>111158.74469364165</v>
      </c>
      <c r="AB180" s="44">
        <v>0</v>
      </c>
      <c r="AC180" s="44">
        <v>153331.72767027654</v>
      </c>
      <c r="AD180" s="44">
        <v>0</v>
      </c>
      <c r="AE180" s="44">
        <v>8323.5133440000009</v>
      </c>
      <c r="AF180" s="44">
        <v>0</v>
      </c>
      <c r="AG180" s="44">
        <v>138243.54</v>
      </c>
      <c r="AH180" s="44">
        <v>0</v>
      </c>
      <c r="AI180" s="44">
        <v>0</v>
      </c>
      <c r="AJ180" s="44">
        <v>0</v>
      </c>
      <c r="AK180" s="44">
        <v>5935.9620999999997</v>
      </c>
      <c r="AL180" s="44">
        <v>0</v>
      </c>
      <c r="AM180" s="44">
        <v>0</v>
      </c>
      <c r="AN180" s="44">
        <v>0</v>
      </c>
      <c r="AO180" s="44">
        <v>0</v>
      </c>
      <c r="AP180" s="44">
        <v>0</v>
      </c>
      <c r="AQ180" s="44">
        <v>0</v>
      </c>
      <c r="AR180" s="44">
        <v>0</v>
      </c>
      <c r="AS180" s="44">
        <v>0</v>
      </c>
      <c r="AT180" s="44">
        <v>1451248.0555999998</v>
      </c>
      <c r="AU180" s="44">
        <v>696375.46950791834</v>
      </c>
      <c r="AV180" s="44">
        <v>144179.50210000001</v>
      </c>
      <c r="AW180" s="44">
        <v>437674.87235027662</v>
      </c>
      <c r="AX180" s="62">
        <v>2291803.0272079185</v>
      </c>
      <c r="AY180" s="62">
        <v>2285867.0651079183</v>
      </c>
      <c r="AZ180" s="62">
        <v>4610</v>
      </c>
      <c r="BA180" s="62">
        <v>1871660</v>
      </c>
      <c r="BB180" s="62">
        <v>0</v>
      </c>
      <c r="BC180" s="62">
        <v>0</v>
      </c>
      <c r="BD180" s="62">
        <v>2291803.0272079185</v>
      </c>
      <c r="BE180" s="44">
        <v>2291803.0272079185</v>
      </c>
      <c r="BF180" s="44">
        <v>0</v>
      </c>
      <c r="BG180" s="62">
        <v>1877595.9620999999</v>
      </c>
      <c r="BH180" s="62">
        <v>1733416.46</v>
      </c>
      <c r="BI180" s="44">
        <v>2147623.5251079183</v>
      </c>
      <c r="BJ180" s="44">
        <v>5289.7131160293557</v>
      </c>
      <c r="BK180" s="44">
        <v>5212.5907412658225</v>
      </c>
      <c r="BL180" s="45">
        <v>1.4795401862837359E-2</v>
      </c>
      <c r="BM180" s="45">
        <v>0</v>
      </c>
      <c r="BN180" s="44">
        <v>0</v>
      </c>
      <c r="BO180" s="62">
        <v>2291803.0272079185</v>
      </c>
      <c r="BP180" s="62">
        <v>5630.2144460786167</v>
      </c>
      <c r="BQ180" s="62" t="s">
        <v>92</v>
      </c>
      <c r="BR180" s="62">
        <v>5644.8350423840357</v>
      </c>
      <c r="BS180" s="53">
        <v>1.2299026549756009E-2</v>
      </c>
      <c r="BT180" s="44">
        <v>0</v>
      </c>
      <c r="BU180" s="44">
        <v>2291803.0272079185</v>
      </c>
      <c r="BV180" s="44">
        <v>0</v>
      </c>
      <c r="BW180" s="44">
        <v>2291803.0272079185</v>
      </c>
      <c r="BX180" s="44">
        <v>5935.9620999999997</v>
      </c>
      <c r="BY180" s="44">
        <v>2285867.0651079183</v>
      </c>
    </row>
    <row r="181" spans="1:77">
      <c r="A181">
        <v>0</v>
      </c>
      <c r="B181" s="60">
        <v>138410</v>
      </c>
      <c r="C181" s="60">
        <v>3302057</v>
      </c>
      <c r="D181" s="61" t="s">
        <v>888</v>
      </c>
      <c r="E181" s="52">
        <v>416</v>
      </c>
      <c r="F181" s="52">
        <v>416</v>
      </c>
      <c r="G181" s="52">
        <v>0</v>
      </c>
      <c r="H181" s="44">
        <v>1486993.0815999999</v>
      </c>
      <c r="I181" s="44">
        <v>0</v>
      </c>
      <c r="J181" s="44">
        <v>0</v>
      </c>
      <c r="K181" s="44">
        <v>111620.41730000002</v>
      </c>
      <c r="L181" s="44">
        <v>0</v>
      </c>
      <c r="M181" s="44">
        <v>188439.10779999994</v>
      </c>
      <c r="N181" s="44">
        <v>0</v>
      </c>
      <c r="O181" s="44">
        <v>236.39305253012071</v>
      </c>
      <c r="P181" s="44">
        <v>7453.9258910843428</v>
      </c>
      <c r="Q181" s="44">
        <v>51926.002521445851</v>
      </c>
      <c r="R181" s="44">
        <v>12196.876915662653</v>
      </c>
      <c r="S181" s="44">
        <v>94803.684271807273</v>
      </c>
      <c r="T181" s="44">
        <v>35569.617488192744</v>
      </c>
      <c r="U181" s="44">
        <v>0</v>
      </c>
      <c r="V181" s="44">
        <v>0</v>
      </c>
      <c r="W181" s="44">
        <v>0</v>
      </c>
      <c r="X181" s="44">
        <v>0</v>
      </c>
      <c r="Y181" s="44">
        <v>0</v>
      </c>
      <c r="Z181" s="44">
        <v>0</v>
      </c>
      <c r="AA181" s="44">
        <v>84170.258590476151</v>
      </c>
      <c r="AB181" s="44">
        <v>0</v>
      </c>
      <c r="AC181" s="44">
        <v>157508.2947000782</v>
      </c>
      <c r="AD181" s="44">
        <v>0</v>
      </c>
      <c r="AE181" s="44">
        <v>213.4808372687578</v>
      </c>
      <c r="AF181" s="44">
        <v>0</v>
      </c>
      <c r="AG181" s="44">
        <v>138243.54</v>
      </c>
      <c r="AH181" s="44">
        <v>0</v>
      </c>
      <c r="AI181" s="44">
        <v>0</v>
      </c>
      <c r="AJ181" s="44">
        <v>0</v>
      </c>
      <c r="AK181" s="44">
        <v>3497.9830000000002</v>
      </c>
      <c r="AL181" s="44">
        <v>0</v>
      </c>
      <c r="AM181" s="44">
        <v>0</v>
      </c>
      <c r="AN181" s="44">
        <v>0</v>
      </c>
      <c r="AO181" s="44">
        <v>0</v>
      </c>
      <c r="AP181" s="44">
        <v>0</v>
      </c>
      <c r="AQ181" s="44">
        <v>0</v>
      </c>
      <c r="AR181" s="44">
        <v>0</v>
      </c>
      <c r="AS181" s="44">
        <v>0</v>
      </c>
      <c r="AT181" s="44">
        <v>1486993.0815999999</v>
      </c>
      <c r="AU181" s="44">
        <v>744138.05936854612</v>
      </c>
      <c r="AV181" s="44">
        <v>141741.52300000002</v>
      </c>
      <c r="AW181" s="44">
        <v>482980.96140043967</v>
      </c>
      <c r="AX181" s="62">
        <v>2372872.6639685463</v>
      </c>
      <c r="AY181" s="62">
        <v>2369374.6809685463</v>
      </c>
      <c r="AZ181" s="62">
        <v>4610</v>
      </c>
      <c r="BA181" s="62">
        <v>1917760</v>
      </c>
      <c r="BB181" s="62">
        <v>0</v>
      </c>
      <c r="BC181" s="62">
        <v>0</v>
      </c>
      <c r="BD181" s="62">
        <v>2372872.6639685463</v>
      </c>
      <c r="BE181" s="44">
        <v>2372872.6639685459</v>
      </c>
      <c r="BF181" s="44">
        <v>0</v>
      </c>
      <c r="BG181" s="62">
        <v>1921257.983</v>
      </c>
      <c r="BH181" s="62">
        <v>1779516.46</v>
      </c>
      <c r="BI181" s="44">
        <v>2231131.1409685463</v>
      </c>
      <c r="BJ181" s="44">
        <v>5363.2960119436211</v>
      </c>
      <c r="BK181" s="44">
        <v>5521.1181851674646</v>
      </c>
      <c r="BL181" s="45">
        <v>-2.8585182915995936E-2</v>
      </c>
      <c r="BM181" s="45">
        <v>3.3585182915995937E-2</v>
      </c>
      <c r="BN181" s="44">
        <v>77137.949886267219</v>
      </c>
      <c r="BO181" s="62">
        <v>2450010.6138548134</v>
      </c>
      <c r="BP181" s="62">
        <v>5881.039978016378</v>
      </c>
      <c r="BQ181" s="62" t="s">
        <v>92</v>
      </c>
      <c r="BR181" s="62">
        <v>5889.4485909971472</v>
      </c>
      <c r="BS181" s="53">
        <v>4.0604296989594779E-3</v>
      </c>
      <c r="BT181" s="44">
        <v>0</v>
      </c>
      <c r="BU181" s="44">
        <v>2450010.6138548134</v>
      </c>
      <c r="BV181" s="44">
        <v>0</v>
      </c>
      <c r="BW181" s="44">
        <v>2450010.6138548134</v>
      </c>
      <c r="BX181" s="44">
        <v>3497.9830000000002</v>
      </c>
      <c r="BY181" s="44">
        <v>2446512.6308548134</v>
      </c>
    </row>
    <row r="182" spans="1:77">
      <c r="A182">
        <v>0</v>
      </c>
      <c r="B182" s="60">
        <v>138425</v>
      </c>
      <c r="C182" s="60">
        <v>3302058</v>
      </c>
      <c r="D182" s="61" t="s">
        <v>889</v>
      </c>
      <c r="E182" s="52">
        <v>209</v>
      </c>
      <c r="F182" s="52">
        <v>209</v>
      </c>
      <c r="G182" s="52">
        <v>0</v>
      </c>
      <c r="H182" s="44">
        <v>747071.04339999997</v>
      </c>
      <c r="I182" s="44">
        <v>0</v>
      </c>
      <c r="J182" s="44">
        <v>0</v>
      </c>
      <c r="K182" s="44">
        <v>57039.508399999992</v>
      </c>
      <c r="L182" s="44">
        <v>0</v>
      </c>
      <c r="M182" s="44">
        <v>97099.627600000051</v>
      </c>
      <c r="N182" s="44">
        <v>0</v>
      </c>
      <c r="O182" s="44">
        <v>1179.1240000000023</v>
      </c>
      <c r="P182" s="44">
        <v>3432.0035999999977</v>
      </c>
      <c r="Q182" s="44">
        <v>30366.209199999987</v>
      </c>
      <c r="R182" s="44">
        <v>973.40459999999973</v>
      </c>
      <c r="S182" s="44">
        <v>59432.874000000018</v>
      </c>
      <c r="T182" s="44">
        <v>3411.9340000000066</v>
      </c>
      <c r="U182" s="44">
        <v>0</v>
      </c>
      <c r="V182" s="44">
        <v>0</v>
      </c>
      <c r="W182" s="44">
        <v>0</v>
      </c>
      <c r="X182" s="44">
        <v>0</v>
      </c>
      <c r="Y182" s="44">
        <v>0</v>
      </c>
      <c r="Z182" s="44">
        <v>0</v>
      </c>
      <c r="AA182" s="44">
        <v>8295.6079173184371</v>
      </c>
      <c r="AB182" s="44">
        <v>0</v>
      </c>
      <c r="AC182" s="44">
        <v>86959.150252425505</v>
      </c>
      <c r="AD182" s="44">
        <v>0</v>
      </c>
      <c r="AE182" s="44">
        <v>0</v>
      </c>
      <c r="AF182" s="44">
        <v>0</v>
      </c>
      <c r="AG182" s="44">
        <v>138243.54</v>
      </c>
      <c r="AH182" s="44">
        <v>0</v>
      </c>
      <c r="AI182" s="44">
        <v>0</v>
      </c>
      <c r="AJ182" s="44">
        <v>0</v>
      </c>
      <c r="AK182" s="44">
        <v>3656.9738000000002</v>
      </c>
      <c r="AL182" s="44">
        <v>0</v>
      </c>
      <c r="AM182" s="44">
        <v>0</v>
      </c>
      <c r="AN182" s="44">
        <v>0</v>
      </c>
      <c r="AO182" s="44">
        <v>0</v>
      </c>
      <c r="AP182" s="44">
        <v>0</v>
      </c>
      <c r="AQ182" s="44">
        <v>0</v>
      </c>
      <c r="AR182" s="44">
        <v>0</v>
      </c>
      <c r="AS182" s="44">
        <v>0</v>
      </c>
      <c r="AT182" s="44">
        <v>747071.04339999997</v>
      </c>
      <c r="AU182" s="44">
        <v>348189.44356974401</v>
      </c>
      <c r="AV182" s="44">
        <v>141900.51380000002</v>
      </c>
      <c r="AW182" s="44">
        <v>250780.04512242554</v>
      </c>
      <c r="AX182" s="62">
        <v>1237161.0007697439</v>
      </c>
      <c r="AY182" s="62">
        <v>1233504.0269697439</v>
      </c>
      <c r="AZ182" s="62">
        <v>4610</v>
      </c>
      <c r="BA182" s="62">
        <v>963490</v>
      </c>
      <c r="BB182" s="62">
        <v>0</v>
      </c>
      <c r="BC182" s="62">
        <v>0</v>
      </c>
      <c r="BD182" s="62">
        <v>1237161.0007697439</v>
      </c>
      <c r="BE182" s="44">
        <v>1237161.0007697442</v>
      </c>
      <c r="BF182" s="44">
        <v>0</v>
      </c>
      <c r="BG182" s="62">
        <v>967146.97380000004</v>
      </c>
      <c r="BH182" s="62">
        <v>825246.46</v>
      </c>
      <c r="BI182" s="44">
        <v>1095260.4869697439</v>
      </c>
      <c r="BJ182" s="44">
        <v>5240.4807988982957</v>
      </c>
      <c r="BK182" s="44">
        <v>5229.1547644549755</v>
      </c>
      <c r="BL182" s="45">
        <v>2.1659398035622415E-3</v>
      </c>
      <c r="BM182" s="45">
        <v>2.8340601964377586E-3</v>
      </c>
      <c r="BN182" s="44">
        <v>3097.3255302015341</v>
      </c>
      <c r="BO182" s="62">
        <v>1240258.3262999454</v>
      </c>
      <c r="BP182" s="62">
        <v>5916.7528827748583</v>
      </c>
      <c r="BQ182" s="62" t="s">
        <v>92</v>
      </c>
      <c r="BR182" s="62">
        <v>5934.2503650715089</v>
      </c>
      <c r="BS182" s="53">
        <v>5.7313908595395535E-3</v>
      </c>
      <c r="BT182" s="44">
        <v>0</v>
      </c>
      <c r="BU182" s="44">
        <v>1240258.3262999454</v>
      </c>
      <c r="BV182" s="44">
        <v>0</v>
      </c>
      <c r="BW182" s="44">
        <v>1240258.3262999454</v>
      </c>
      <c r="BX182" s="44">
        <v>3656.9738000000002</v>
      </c>
      <c r="BY182" s="44">
        <v>1236601.3524999453</v>
      </c>
    </row>
    <row r="183" spans="1:77">
      <c r="A183">
        <v>0</v>
      </c>
      <c r="B183" s="60">
        <v>138432</v>
      </c>
      <c r="C183" s="60">
        <v>3302059</v>
      </c>
      <c r="D183" s="61" t="s">
        <v>890</v>
      </c>
      <c r="E183" s="52">
        <v>185</v>
      </c>
      <c r="F183" s="52">
        <v>185</v>
      </c>
      <c r="G183" s="52">
        <v>0</v>
      </c>
      <c r="H183" s="44">
        <v>661282.98099999991</v>
      </c>
      <c r="I183" s="44">
        <v>0</v>
      </c>
      <c r="J183" s="44">
        <v>0</v>
      </c>
      <c r="K183" s="44">
        <v>58514.668099999981</v>
      </c>
      <c r="L183" s="44">
        <v>0</v>
      </c>
      <c r="M183" s="44">
        <v>98745.384000000064</v>
      </c>
      <c r="N183" s="44">
        <v>0</v>
      </c>
      <c r="O183" s="44">
        <v>1414.9487999999985</v>
      </c>
      <c r="P183" s="44">
        <v>572.00059999999928</v>
      </c>
      <c r="Q183" s="44">
        <v>893.12379999999894</v>
      </c>
      <c r="R183" s="44">
        <v>46236.718499999959</v>
      </c>
      <c r="S183" s="44">
        <v>37210.147199999978</v>
      </c>
      <c r="T183" s="44">
        <v>2047.1603999999979</v>
      </c>
      <c r="U183" s="44">
        <v>0</v>
      </c>
      <c r="V183" s="44">
        <v>0</v>
      </c>
      <c r="W183" s="44">
        <v>0</v>
      </c>
      <c r="X183" s="44">
        <v>0</v>
      </c>
      <c r="Y183" s="44">
        <v>0</v>
      </c>
      <c r="Z183" s="44">
        <v>0</v>
      </c>
      <c r="AA183" s="44">
        <v>36294.997183431944</v>
      </c>
      <c r="AB183" s="44">
        <v>0</v>
      </c>
      <c r="AC183" s="44">
        <v>74289.276306735337</v>
      </c>
      <c r="AD183" s="44">
        <v>0</v>
      </c>
      <c r="AE183" s="44">
        <v>0</v>
      </c>
      <c r="AF183" s="44">
        <v>0</v>
      </c>
      <c r="AG183" s="44">
        <v>138243.54</v>
      </c>
      <c r="AH183" s="44">
        <v>0</v>
      </c>
      <c r="AI183" s="44">
        <v>0</v>
      </c>
      <c r="AJ183" s="44">
        <v>0</v>
      </c>
      <c r="AK183" s="44">
        <v>3418.4773</v>
      </c>
      <c r="AL183" s="44">
        <v>0</v>
      </c>
      <c r="AM183" s="44">
        <v>0</v>
      </c>
      <c r="AN183" s="44">
        <v>0</v>
      </c>
      <c r="AO183" s="44">
        <v>0</v>
      </c>
      <c r="AP183" s="44">
        <v>0</v>
      </c>
      <c r="AQ183" s="44">
        <v>0</v>
      </c>
      <c r="AR183" s="44">
        <v>0</v>
      </c>
      <c r="AS183" s="44">
        <v>0</v>
      </c>
      <c r="AT183" s="44">
        <v>661282.98099999991</v>
      </c>
      <c r="AU183" s="44">
        <v>356218.42489016725</v>
      </c>
      <c r="AV183" s="44">
        <v>141662.01730000001</v>
      </c>
      <c r="AW183" s="44">
        <v>230170.50105673535</v>
      </c>
      <c r="AX183" s="62">
        <v>1159163.4231901672</v>
      </c>
      <c r="AY183" s="62">
        <v>1155744.9458901673</v>
      </c>
      <c r="AZ183" s="62">
        <v>4610</v>
      </c>
      <c r="BA183" s="62">
        <v>852850</v>
      </c>
      <c r="BB183" s="62">
        <v>0</v>
      </c>
      <c r="BC183" s="62">
        <v>0</v>
      </c>
      <c r="BD183" s="62">
        <v>1159163.4231901672</v>
      </c>
      <c r="BE183" s="44">
        <v>1159163.4231901674</v>
      </c>
      <c r="BF183" s="44">
        <v>0</v>
      </c>
      <c r="BG183" s="62">
        <v>856268.47730000003</v>
      </c>
      <c r="BH183" s="62">
        <v>714606.46</v>
      </c>
      <c r="BI183" s="44">
        <v>1017501.4058901671</v>
      </c>
      <c r="BJ183" s="44">
        <v>5500.0075994063091</v>
      </c>
      <c r="BK183" s="44">
        <v>5554.2058632653061</v>
      </c>
      <c r="BL183" s="45">
        <v>-9.758058162275967E-3</v>
      </c>
      <c r="BM183" s="45">
        <v>1.4758058162275968E-2</v>
      </c>
      <c r="BN183" s="44">
        <v>15164.319237434864</v>
      </c>
      <c r="BO183" s="62">
        <v>1174327.7424276019</v>
      </c>
      <c r="BP183" s="62">
        <v>6329.2392709600108</v>
      </c>
      <c r="BQ183" s="62" t="s">
        <v>92</v>
      </c>
      <c r="BR183" s="62">
        <v>6347.7175266356862</v>
      </c>
      <c r="BS183" s="53">
        <v>1.1162289663124936E-2</v>
      </c>
      <c r="BT183" s="44">
        <v>0</v>
      </c>
      <c r="BU183" s="44">
        <v>1174327.7424276019</v>
      </c>
      <c r="BV183" s="44">
        <v>0</v>
      </c>
      <c r="BW183" s="44">
        <v>1174327.7424276019</v>
      </c>
      <c r="BX183" s="44">
        <v>3418.4773</v>
      </c>
      <c r="BY183" s="44">
        <v>1170909.265127602</v>
      </c>
    </row>
    <row r="184" spans="1:77">
      <c r="A184">
        <v>0</v>
      </c>
      <c r="B184" s="60">
        <v>143563</v>
      </c>
      <c r="C184" s="60">
        <v>3302060</v>
      </c>
      <c r="D184" s="61" t="s">
        <v>891</v>
      </c>
      <c r="E184" s="52">
        <v>210</v>
      </c>
      <c r="F184" s="52">
        <v>210</v>
      </c>
      <c r="G184" s="52">
        <v>0</v>
      </c>
      <c r="H184" s="44">
        <v>750645.54599999997</v>
      </c>
      <c r="I184" s="44">
        <v>0</v>
      </c>
      <c r="J184" s="44">
        <v>0</v>
      </c>
      <c r="K184" s="44">
        <v>71791.105399999971</v>
      </c>
      <c r="L184" s="44">
        <v>0</v>
      </c>
      <c r="M184" s="44">
        <v>126723.24279999993</v>
      </c>
      <c r="N184" s="44">
        <v>0</v>
      </c>
      <c r="O184" s="44">
        <v>0</v>
      </c>
      <c r="P184" s="44">
        <v>286.00029999999987</v>
      </c>
      <c r="Q184" s="44">
        <v>1339.6857000000011</v>
      </c>
      <c r="R184" s="44">
        <v>13140.962100000044</v>
      </c>
      <c r="S184" s="44">
        <v>90441.329999999973</v>
      </c>
      <c r="T184" s="44">
        <v>2047.1604000000018</v>
      </c>
      <c r="U184" s="44">
        <v>0</v>
      </c>
      <c r="V184" s="44">
        <v>0</v>
      </c>
      <c r="W184" s="44">
        <v>0</v>
      </c>
      <c r="X184" s="44">
        <v>0</v>
      </c>
      <c r="Y184" s="44">
        <v>0</v>
      </c>
      <c r="Z184" s="44">
        <v>0</v>
      </c>
      <c r="AA184" s="44">
        <v>38681.965466666661</v>
      </c>
      <c r="AB184" s="44">
        <v>0</v>
      </c>
      <c r="AC184" s="44">
        <v>63405.879064874331</v>
      </c>
      <c r="AD184" s="44">
        <v>0</v>
      </c>
      <c r="AE184" s="44">
        <v>0</v>
      </c>
      <c r="AF184" s="44">
        <v>0</v>
      </c>
      <c r="AG184" s="44">
        <v>138243.54</v>
      </c>
      <c r="AH184" s="44">
        <v>0</v>
      </c>
      <c r="AI184" s="44">
        <v>0</v>
      </c>
      <c r="AJ184" s="44">
        <v>0</v>
      </c>
      <c r="AK184" s="44">
        <v>2729.4794000000002</v>
      </c>
      <c r="AL184" s="44">
        <v>0</v>
      </c>
      <c r="AM184" s="44">
        <v>0</v>
      </c>
      <c r="AN184" s="44">
        <v>0</v>
      </c>
      <c r="AO184" s="44">
        <v>0</v>
      </c>
      <c r="AP184" s="44">
        <v>0</v>
      </c>
      <c r="AQ184" s="44">
        <v>0</v>
      </c>
      <c r="AR184" s="44">
        <v>0</v>
      </c>
      <c r="AS184" s="44">
        <v>0</v>
      </c>
      <c r="AT184" s="44">
        <v>750645.54599999997</v>
      </c>
      <c r="AU184" s="44">
        <v>407857.33123154088</v>
      </c>
      <c r="AV184" s="44">
        <v>140973.01940000002</v>
      </c>
      <c r="AW184" s="44">
        <v>253822.89971487428</v>
      </c>
      <c r="AX184" s="62">
        <v>1299475.896631541</v>
      </c>
      <c r="AY184" s="62">
        <v>1296746.4172315409</v>
      </c>
      <c r="AZ184" s="62">
        <v>4610</v>
      </c>
      <c r="BA184" s="62">
        <v>968100</v>
      </c>
      <c r="BB184" s="62">
        <v>0</v>
      </c>
      <c r="BC184" s="62">
        <v>0</v>
      </c>
      <c r="BD184" s="62">
        <v>1299475.896631541</v>
      </c>
      <c r="BE184" s="44">
        <v>1299475.896631541</v>
      </c>
      <c r="BF184" s="44">
        <v>0</v>
      </c>
      <c r="BG184" s="62">
        <v>970829.47939999995</v>
      </c>
      <c r="BH184" s="62">
        <v>829856.46</v>
      </c>
      <c r="BI184" s="44">
        <v>1158502.8772315409</v>
      </c>
      <c r="BJ184" s="44">
        <v>5516.6803677692424</v>
      </c>
      <c r="BK184" s="44">
        <v>5792.801747619048</v>
      </c>
      <c r="BL184" s="45">
        <v>-4.766629204310277E-2</v>
      </c>
      <c r="BM184" s="45">
        <v>5.2666292043102768E-2</v>
      </c>
      <c r="BN184" s="44">
        <v>64067.931603459183</v>
      </c>
      <c r="BO184" s="62">
        <v>1363543.8282350001</v>
      </c>
      <c r="BP184" s="62">
        <v>6480.0683277857142</v>
      </c>
      <c r="BQ184" s="62" t="s">
        <v>92</v>
      </c>
      <c r="BR184" s="62">
        <v>6493.0658487380961</v>
      </c>
      <c r="BS184" s="53">
        <v>4.044775914302301E-3</v>
      </c>
      <c r="BT184" s="44">
        <v>0</v>
      </c>
      <c r="BU184" s="44">
        <v>1363543.8282350001</v>
      </c>
      <c r="BV184" s="44">
        <v>0</v>
      </c>
      <c r="BW184" s="44">
        <v>1363543.8282350001</v>
      </c>
      <c r="BX184" s="44">
        <v>2729.4794000000002</v>
      </c>
      <c r="BY184" s="44">
        <v>1360814.3488350001</v>
      </c>
    </row>
    <row r="185" spans="1:77">
      <c r="A185">
        <v>0</v>
      </c>
      <c r="B185" s="60">
        <v>138433</v>
      </c>
      <c r="C185" s="60">
        <v>3302061</v>
      </c>
      <c r="D185" s="61" t="s">
        <v>892</v>
      </c>
      <c r="E185" s="52">
        <v>177</v>
      </c>
      <c r="F185" s="52">
        <v>177</v>
      </c>
      <c r="G185" s="52">
        <v>0</v>
      </c>
      <c r="H185" s="44">
        <v>632686.96019999997</v>
      </c>
      <c r="I185" s="44">
        <v>0</v>
      </c>
      <c r="J185" s="44">
        <v>0</v>
      </c>
      <c r="K185" s="44">
        <v>47696.830299999958</v>
      </c>
      <c r="L185" s="44">
        <v>0</v>
      </c>
      <c r="M185" s="44">
        <v>82287.819999999934</v>
      </c>
      <c r="N185" s="44">
        <v>0</v>
      </c>
      <c r="O185" s="44">
        <v>1669.639584</v>
      </c>
      <c r="P185" s="44">
        <v>867.80662457142625</v>
      </c>
      <c r="Q185" s="44">
        <v>9484.9747559999996</v>
      </c>
      <c r="R185" s="44">
        <v>12306.61530000001</v>
      </c>
      <c r="S185" s="44">
        <v>54362.253147428542</v>
      </c>
      <c r="T185" s="44">
        <v>5521.4840502857123</v>
      </c>
      <c r="U185" s="44">
        <v>0</v>
      </c>
      <c r="V185" s="44">
        <v>0</v>
      </c>
      <c r="W185" s="44">
        <v>0</v>
      </c>
      <c r="X185" s="44">
        <v>0</v>
      </c>
      <c r="Y185" s="44">
        <v>0</v>
      </c>
      <c r="Z185" s="44">
        <v>0</v>
      </c>
      <c r="AA185" s="44">
        <v>40459.427261392448</v>
      </c>
      <c r="AB185" s="44">
        <v>0</v>
      </c>
      <c r="AC185" s="44">
        <v>73119.93558265458</v>
      </c>
      <c r="AD185" s="44">
        <v>0</v>
      </c>
      <c r="AE185" s="44">
        <v>22709.686738909062</v>
      </c>
      <c r="AF185" s="44">
        <v>0</v>
      </c>
      <c r="AG185" s="44">
        <v>138243.54</v>
      </c>
      <c r="AH185" s="44">
        <v>0</v>
      </c>
      <c r="AI185" s="44">
        <v>0</v>
      </c>
      <c r="AJ185" s="44">
        <v>0</v>
      </c>
      <c r="AK185" s="44">
        <v>5299.9679999999998</v>
      </c>
      <c r="AL185" s="44">
        <v>0</v>
      </c>
      <c r="AM185" s="44">
        <v>0</v>
      </c>
      <c r="AN185" s="44">
        <v>0</v>
      </c>
      <c r="AO185" s="44">
        <v>0</v>
      </c>
      <c r="AP185" s="44">
        <v>0</v>
      </c>
      <c r="AQ185" s="44">
        <v>0</v>
      </c>
      <c r="AR185" s="44">
        <v>0</v>
      </c>
      <c r="AS185" s="44">
        <v>0</v>
      </c>
      <c r="AT185" s="44">
        <v>632686.96019999997</v>
      </c>
      <c r="AU185" s="44">
        <v>350486.47334524163</v>
      </c>
      <c r="AV185" s="44">
        <v>143543.508</v>
      </c>
      <c r="AW185" s="44">
        <v>211852.99547379737</v>
      </c>
      <c r="AX185" s="62">
        <v>1126716.9415452415</v>
      </c>
      <c r="AY185" s="62">
        <v>1121416.9735452414</v>
      </c>
      <c r="AZ185" s="62">
        <v>4610</v>
      </c>
      <c r="BA185" s="62">
        <v>815970</v>
      </c>
      <c r="BB185" s="62">
        <v>0</v>
      </c>
      <c r="BC185" s="62">
        <v>0</v>
      </c>
      <c r="BD185" s="62">
        <v>1126716.9415452415</v>
      </c>
      <c r="BE185" s="44">
        <v>1126716.9415452417</v>
      </c>
      <c r="BF185" s="44">
        <v>0</v>
      </c>
      <c r="BG185" s="62">
        <v>821269.96799999999</v>
      </c>
      <c r="BH185" s="62">
        <v>677726.46</v>
      </c>
      <c r="BI185" s="44">
        <v>983173.43354524148</v>
      </c>
      <c r="BJ185" s="44">
        <v>5554.6521669222684</v>
      </c>
      <c r="BK185" s="44">
        <v>5736.2184364705881</v>
      </c>
      <c r="BL185" s="45">
        <v>-3.165260729855239E-2</v>
      </c>
      <c r="BM185" s="45">
        <v>3.6652607298552388E-2</v>
      </c>
      <c r="BN185" s="44">
        <v>37213.78302632906</v>
      </c>
      <c r="BO185" s="62">
        <v>1163930.7245715705</v>
      </c>
      <c r="BP185" s="62">
        <v>6545.9364778054824</v>
      </c>
      <c r="BQ185" s="62" t="s">
        <v>92</v>
      </c>
      <c r="BR185" s="62">
        <v>6575.8797998393811</v>
      </c>
      <c r="BS185" s="53">
        <v>1.6566557850550279E-3</v>
      </c>
      <c r="BT185" s="44">
        <v>0</v>
      </c>
      <c r="BU185" s="44">
        <v>1163930.7245715705</v>
      </c>
      <c r="BV185" s="44">
        <v>0</v>
      </c>
      <c r="BW185" s="44">
        <v>1163930.7245715705</v>
      </c>
      <c r="BX185" s="44">
        <v>5299.9679999999998</v>
      </c>
      <c r="BY185" s="44">
        <v>1158630.7565715704</v>
      </c>
    </row>
    <row r="186" spans="1:77">
      <c r="A186">
        <v>0</v>
      </c>
      <c r="B186" s="60">
        <v>139183</v>
      </c>
      <c r="C186" s="60">
        <v>3302064</v>
      </c>
      <c r="D186" s="61" t="s">
        <v>893</v>
      </c>
      <c r="E186" s="52">
        <v>398</v>
      </c>
      <c r="F186" s="52">
        <v>398</v>
      </c>
      <c r="G186" s="52">
        <v>0</v>
      </c>
      <c r="H186" s="44">
        <v>1422652.0348</v>
      </c>
      <c r="I186" s="44">
        <v>0</v>
      </c>
      <c r="J186" s="44">
        <v>0</v>
      </c>
      <c r="K186" s="44">
        <v>95885.380500000087</v>
      </c>
      <c r="L186" s="44">
        <v>0</v>
      </c>
      <c r="M186" s="44">
        <v>163752.76180000001</v>
      </c>
      <c r="N186" s="44">
        <v>0</v>
      </c>
      <c r="O186" s="44">
        <v>9432.9919999999929</v>
      </c>
      <c r="P186" s="44">
        <v>22880.023999999983</v>
      </c>
      <c r="Q186" s="44">
        <v>5358.7427999999954</v>
      </c>
      <c r="R186" s="44">
        <v>73005.345000000045</v>
      </c>
      <c r="S186" s="44">
        <v>48063.10680000006</v>
      </c>
      <c r="T186" s="44">
        <v>1364.7735999999991</v>
      </c>
      <c r="U186" s="44">
        <v>0</v>
      </c>
      <c r="V186" s="44">
        <v>0</v>
      </c>
      <c r="W186" s="44">
        <v>0</v>
      </c>
      <c r="X186" s="44">
        <v>0</v>
      </c>
      <c r="Y186" s="44">
        <v>0</v>
      </c>
      <c r="Z186" s="44">
        <v>0</v>
      </c>
      <c r="AA186" s="44">
        <v>35555.784402958576</v>
      </c>
      <c r="AB186" s="44">
        <v>0</v>
      </c>
      <c r="AC186" s="44">
        <v>182478.1129637681</v>
      </c>
      <c r="AD186" s="44">
        <v>0</v>
      </c>
      <c r="AE186" s="44">
        <v>5895.821951999982</v>
      </c>
      <c r="AF186" s="44">
        <v>0</v>
      </c>
      <c r="AG186" s="44">
        <v>138243.54</v>
      </c>
      <c r="AH186" s="44">
        <v>0</v>
      </c>
      <c r="AI186" s="44">
        <v>0</v>
      </c>
      <c r="AJ186" s="44">
        <v>0</v>
      </c>
      <c r="AK186" s="44">
        <v>9327.9477999999999</v>
      </c>
      <c r="AL186" s="44">
        <v>0</v>
      </c>
      <c r="AM186" s="44">
        <v>0</v>
      </c>
      <c r="AN186" s="44">
        <v>0</v>
      </c>
      <c r="AO186" s="44">
        <v>0</v>
      </c>
      <c r="AP186" s="44">
        <v>0</v>
      </c>
      <c r="AQ186" s="44">
        <v>0</v>
      </c>
      <c r="AR186" s="44">
        <v>0</v>
      </c>
      <c r="AS186" s="44">
        <v>0</v>
      </c>
      <c r="AT186" s="44">
        <v>1422652.0348</v>
      </c>
      <c r="AU186" s="44">
        <v>643672.84581872693</v>
      </c>
      <c r="AV186" s="44">
        <v>147571.4878</v>
      </c>
      <c r="AW186" s="44">
        <v>463482.27795376815</v>
      </c>
      <c r="AX186" s="62">
        <v>2213896.3684187271</v>
      </c>
      <c r="AY186" s="62">
        <v>2204568.4206187269</v>
      </c>
      <c r="AZ186" s="62">
        <v>4610</v>
      </c>
      <c r="BA186" s="62">
        <v>1834780</v>
      </c>
      <c r="BB186" s="62">
        <v>0</v>
      </c>
      <c r="BC186" s="62">
        <v>0</v>
      </c>
      <c r="BD186" s="62">
        <v>2213896.3684187271</v>
      </c>
      <c r="BE186" s="44">
        <v>2213896.3684187266</v>
      </c>
      <c r="BF186" s="44">
        <v>0</v>
      </c>
      <c r="BG186" s="62">
        <v>1844107.9478</v>
      </c>
      <c r="BH186" s="62">
        <v>1696536.46</v>
      </c>
      <c r="BI186" s="44">
        <v>2066324.8806187271</v>
      </c>
      <c r="BJ186" s="44">
        <v>5191.7710568309722</v>
      </c>
      <c r="BK186" s="44">
        <v>5116.9479797927461</v>
      </c>
      <c r="BL186" s="45">
        <v>1.4622598731452545E-2</v>
      </c>
      <c r="BM186" s="45">
        <v>0</v>
      </c>
      <c r="BN186" s="44">
        <v>0</v>
      </c>
      <c r="BO186" s="62">
        <v>2213896.3684187271</v>
      </c>
      <c r="BP186" s="62">
        <v>5539.1166347204189</v>
      </c>
      <c r="BQ186" s="62" t="s">
        <v>92</v>
      </c>
      <c r="BR186" s="62">
        <v>5562.5536894942888</v>
      </c>
      <c r="BS186" s="53">
        <v>1.3506841831289362E-2</v>
      </c>
      <c r="BT186" s="44">
        <v>0</v>
      </c>
      <c r="BU186" s="44">
        <v>2213896.3684187271</v>
      </c>
      <c r="BV186" s="44">
        <v>0</v>
      </c>
      <c r="BW186" s="44">
        <v>2213896.3684187271</v>
      </c>
      <c r="BX186" s="44">
        <v>9327.9477999999999</v>
      </c>
      <c r="BY186" s="44">
        <v>2204568.4206187269</v>
      </c>
    </row>
    <row r="187" spans="1:77">
      <c r="A187">
        <v>0</v>
      </c>
      <c r="B187" s="60">
        <v>138218</v>
      </c>
      <c r="C187" s="60">
        <v>3302065</v>
      </c>
      <c r="D187" s="61" t="s">
        <v>894</v>
      </c>
      <c r="E187" s="52">
        <v>611</v>
      </c>
      <c r="F187" s="52">
        <v>611</v>
      </c>
      <c r="G187" s="52">
        <v>0</v>
      </c>
      <c r="H187" s="44">
        <v>2184021.0885999999</v>
      </c>
      <c r="I187" s="44">
        <v>0</v>
      </c>
      <c r="J187" s="44">
        <v>0</v>
      </c>
      <c r="K187" s="44">
        <v>104736.33869999996</v>
      </c>
      <c r="L187" s="44">
        <v>0</v>
      </c>
      <c r="M187" s="44">
        <v>177741.6912</v>
      </c>
      <c r="N187" s="44">
        <v>0</v>
      </c>
      <c r="O187" s="44">
        <v>68377.187781937537</v>
      </c>
      <c r="P187" s="44">
        <v>45336.44821247951</v>
      </c>
      <c r="Q187" s="44">
        <v>11648.739480131368</v>
      </c>
      <c r="R187" s="44">
        <v>4883.0066551724276</v>
      </c>
      <c r="S187" s="44">
        <v>9851.5918364532135</v>
      </c>
      <c r="T187" s="44">
        <v>2053.8834226600998</v>
      </c>
      <c r="U187" s="44">
        <v>0</v>
      </c>
      <c r="V187" s="44">
        <v>0</v>
      </c>
      <c r="W187" s="44">
        <v>0</v>
      </c>
      <c r="X187" s="44">
        <v>0</v>
      </c>
      <c r="Y187" s="44">
        <v>0</v>
      </c>
      <c r="Z187" s="44">
        <v>0</v>
      </c>
      <c r="AA187" s="44">
        <v>73600.890421113188</v>
      </c>
      <c r="AB187" s="44">
        <v>0</v>
      </c>
      <c r="AC187" s="44">
        <v>202031.52805129148</v>
      </c>
      <c r="AD187" s="44">
        <v>0</v>
      </c>
      <c r="AE187" s="44">
        <v>0</v>
      </c>
      <c r="AF187" s="44">
        <v>0</v>
      </c>
      <c r="AG187" s="44">
        <v>138243.54</v>
      </c>
      <c r="AH187" s="44">
        <v>0</v>
      </c>
      <c r="AI187" s="44">
        <v>0</v>
      </c>
      <c r="AJ187" s="44">
        <v>0</v>
      </c>
      <c r="AK187" s="44">
        <v>4345.9717000000001</v>
      </c>
      <c r="AL187" s="44">
        <v>0</v>
      </c>
      <c r="AM187" s="44">
        <v>0</v>
      </c>
      <c r="AN187" s="44">
        <v>0</v>
      </c>
      <c r="AO187" s="44">
        <v>0</v>
      </c>
      <c r="AP187" s="44">
        <v>0</v>
      </c>
      <c r="AQ187" s="44">
        <v>0</v>
      </c>
      <c r="AR187" s="44">
        <v>0</v>
      </c>
      <c r="AS187" s="44">
        <v>0</v>
      </c>
      <c r="AT187" s="44">
        <v>2184021.0885999999</v>
      </c>
      <c r="AU187" s="44">
        <v>700261.30576123879</v>
      </c>
      <c r="AV187" s="44">
        <v>142589.5117</v>
      </c>
      <c r="AW187" s="44">
        <v>523547.02612570854</v>
      </c>
      <c r="AX187" s="62">
        <v>3026871.9060612391</v>
      </c>
      <c r="AY187" s="62">
        <v>3022525.934361239</v>
      </c>
      <c r="AZ187" s="62">
        <v>4610</v>
      </c>
      <c r="BA187" s="62">
        <v>2816710</v>
      </c>
      <c r="BB187" s="62">
        <v>0</v>
      </c>
      <c r="BC187" s="62">
        <v>0</v>
      </c>
      <c r="BD187" s="62">
        <v>3026871.9060612391</v>
      </c>
      <c r="BE187" s="44">
        <v>3026871.9060612391</v>
      </c>
      <c r="BF187" s="44">
        <v>0</v>
      </c>
      <c r="BG187" s="62">
        <v>2821055.9717000001</v>
      </c>
      <c r="BH187" s="62">
        <v>2678466.46</v>
      </c>
      <c r="BI187" s="44">
        <v>2884282.3943612389</v>
      </c>
      <c r="BJ187" s="44">
        <v>4720.5931167941717</v>
      </c>
      <c r="BK187" s="44">
        <v>4645.029359344262</v>
      </c>
      <c r="BL187" s="45">
        <v>1.6267659815303506E-2</v>
      </c>
      <c r="BM187" s="45">
        <v>0</v>
      </c>
      <c r="BN187" s="44">
        <v>0</v>
      </c>
      <c r="BO187" s="62">
        <v>3026871.9060612391</v>
      </c>
      <c r="BP187" s="62">
        <v>4946.850956401373</v>
      </c>
      <c r="BQ187" s="62" t="s">
        <v>92</v>
      </c>
      <c r="BR187" s="62">
        <v>4953.9638397074286</v>
      </c>
      <c r="BS187" s="53">
        <v>1.380524651234083E-2</v>
      </c>
      <c r="BT187" s="44">
        <v>0</v>
      </c>
      <c r="BU187" s="44">
        <v>3026871.9060612391</v>
      </c>
      <c r="BV187" s="44">
        <v>0</v>
      </c>
      <c r="BW187" s="44">
        <v>3026871.9060612391</v>
      </c>
      <c r="BX187" s="44">
        <v>4345.9717000000001</v>
      </c>
      <c r="BY187" s="44">
        <v>3022525.934361239</v>
      </c>
    </row>
    <row r="188" spans="1:77">
      <c r="A188">
        <v>0</v>
      </c>
      <c r="B188" s="60">
        <v>138303</v>
      </c>
      <c r="C188" s="60">
        <v>3302068</v>
      </c>
      <c r="D188" s="61" t="s">
        <v>895</v>
      </c>
      <c r="E188" s="52">
        <v>293</v>
      </c>
      <c r="F188" s="52">
        <v>293</v>
      </c>
      <c r="G188" s="52">
        <v>0</v>
      </c>
      <c r="H188" s="44">
        <v>1047329.2618</v>
      </c>
      <c r="I188" s="44">
        <v>0</v>
      </c>
      <c r="J188" s="44">
        <v>0</v>
      </c>
      <c r="K188" s="44">
        <v>75233.144700000019</v>
      </c>
      <c r="L188" s="44">
        <v>0</v>
      </c>
      <c r="M188" s="44">
        <v>130014.75559999995</v>
      </c>
      <c r="N188" s="44">
        <v>0</v>
      </c>
      <c r="O188" s="44">
        <v>2358.2479999999996</v>
      </c>
      <c r="P188" s="44">
        <v>4576.0047999999988</v>
      </c>
      <c r="Q188" s="44">
        <v>6251.8665999999994</v>
      </c>
      <c r="R188" s="44">
        <v>17521.282799999968</v>
      </c>
      <c r="S188" s="44">
        <v>78037.9476</v>
      </c>
      <c r="T188" s="44">
        <v>27295.471999999994</v>
      </c>
      <c r="U188" s="44">
        <v>0</v>
      </c>
      <c r="V188" s="44">
        <v>0</v>
      </c>
      <c r="W188" s="44">
        <v>0</v>
      </c>
      <c r="X188" s="44">
        <v>0</v>
      </c>
      <c r="Y188" s="44">
        <v>0</v>
      </c>
      <c r="Z188" s="44">
        <v>0</v>
      </c>
      <c r="AA188" s="44">
        <v>32947.139191085269</v>
      </c>
      <c r="AB188" s="44">
        <v>0</v>
      </c>
      <c r="AC188" s="44">
        <v>133176.95568106935</v>
      </c>
      <c r="AD188" s="44">
        <v>0</v>
      </c>
      <c r="AE188" s="44">
        <v>7148.20243200001</v>
      </c>
      <c r="AF188" s="44">
        <v>0</v>
      </c>
      <c r="AG188" s="44">
        <v>138243.54</v>
      </c>
      <c r="AH188" s="44">
        <v>0</v>
      </c>
      <c r="AI188" s="44">
        <v>0</v>
      </c>
      <c r="AJ188" s="44">
        <v>0</v>
      </c>
      <c r="AK188" s="44">
        <v>6942.9621999999999</v>
      </c>
      <c r="AL188" s="44">
        <v>0</v>
      </c>
      <c r="AM188" s="44">
        <v>0</v>
      </c>
      <c r="AN188" s="44">
        <v>0</v>
      </c>
      <c r="AO188" s="44">
        <v>0</v>
      </c>
      <c r="AP188" s="44">
        <v>0</v>
      </c>
      <c r="AQ188" s="44">
        <v>0</v>
      </c>
      <c r="AR188" s="44">
        <v>0</v>
      </c>
      <c r="AS188" s="44">
        <v>0</v>
      </c>
      <c r="AT188" s="44">
        <v>1047329.2618</v>
      </c>
      <c r="AU188" s="44">
        <v>514561.01940415462</v>
      </c>
      <c r="AV188" s="44">
        <v>145186.50220000002</v>
      </c>
      <c r="AW188" s="44">
        <v>356187.77982106933</v>
      </c>
      <c r="AX188" s="62">
        <v>1707076.7834041547</v>
      </c>
      <c r="AY188" s="62">
        <v>1700133.8212041548</v>
      </c>
      <c r="AZ188" s="62">
        <v>4610</v>
      </c>
      <c r="BA188" s="62">
        <v>1350730</v>
      </c>
      <c r="BB188" s="62">
        <v>0</v>
      </c>
      <c r="BC188" s="62">
        <v>0</v>
      </c>
      <c r="BD188" s="62">
        <v>1707076.7834041547</v>
      </c>
      <c r="BE188" s="44">
        <v>1707076.7834041547</v>
      </c>
      <c r="BF188" s="44">
        <v>0</v>
      </c>
      <c r="BG188" s="62">
        <v>1357672.9622</v>
      </c>
      <c r="BH188" s="62">
        <v>1212486.46</v>
      </c>
      <c r="BI188" s="44">
        <v>1561890.2812041547</v>
      </c>
      <c r="BJ188" s="44">
        <v>5330.683553597798</v>
      </c>
      <c r="BK188" s="44">
        <v>5111.9696993055559</v>
      </c>
      <c r="BL188" s="45">
        <v>4.2784653892207862E-2</v>
      </c>
      <c r="BM188" s="45">
        <v>0</v>
      </c>
      <c r="BN188" s="44">
        <v>0</v>
      </c>
      <c r="BO188" s="62">
        <v>1707076.7834041547</v>
      </c>
      <c r="BP188" s="62">
        <v>5802.5045092291975</v>
      </c>
      <c r="BQ188" s="62" t="s">
        <v>92</v>
      </c>
      <c r="BR188" s="62">
        <v>5826.2006259527461</v>
      </c>
      <c r="BS188" s="53">
        <v>3.9162183245785798E-2</v>
      </c>
      <c r="BT188" s="44">
        <v>0</v>
      </c>
      <c r="BU188" s="44">
        <v>1707076.7834041547</v>
      </c>
      <c r="BV188" s="44">
        <v>0</v>
      </c>
      <c r="BW188" s="44">
        <v>1707076.7834041547</v>
      </c>
      <c r="BX188" s="44">
        <v>6942.9621999999999</v>
      </c>
      <c r="BY188" s="44">
        <v>1700133.8212041548</v>
      </c>
    </row>
    <row r="189" spans="1:77">
      <c r="A189">
        <v>0</v>
      </c>
      <c r="B189" s="60">
        <v>138864</v>
      </c>
      <c r="C189" s="60">
        <v>3302070</v>
      </c>
      <c r="D189" s="61" t="s">
        <v>896</v>
      </c>
      <c r="E189" s="52">
        <v>448</v>
      </c>
      <c r="F189" s="52">
        <v>448</v>
      </c>
      <c r="G189" s="52">
        <v>0</v>
      </c>
      <c r="H189" s="44">
        <v>1601377.1647999999</v>
      </c>
      <c r="I189" s="44">
        <v>0</v>
      </c>
      <c r="J189" s="44">
        <v>0</v>
      </c>
      <c r="K189" s="44">
        <v>93918.500900000057</v>
      </c>
      <c r="L189" s="44">
        <v>0</v>
      </c>
      <c r="M189" s="44">
        <v>159638.37079999992</v>
      </c>
      <c r="N189" s="44">
        <v>0</v>
      </c>
      <c r="O189" s="44">
        <v>1414.9487999999956</v>
      </c>
      <c r="P189" s="44">
        <v>5148.0053999999955</v>
      </c>
      <c r="Q189" s="44">
        <v>15629.666499999999</v>
      </c>
      <c r="R189" s="44">
        <v>111941.52899999997</v>
      </c>
      <c r="S189" s="44">
        <v>66151.372800000056</v>
      </c>
      <c r="T189" s="44">
        <v>15694.896399999994</v>
      </c>
      <c r="U189" s="44">
        <v>0</v>
      </c>
      <c r="V189" s="44">
        <v>0</v>
      </c>
      <c r="W189" s="44">
        <v>0</v>
      </c>
      <c r="X189" s="44">
        <v>0</v>
      </c>
      <c r="Y189" s="44">
        <v>0</v>
      </c>
      <c r="Z189" s="44">
        <v>0</v>
      </c>
      <c r="AA189" s="44">
        <v>144929.19020206199</v>
      </c>
      <c r="AB189" s="44">
        <v>0</v>
      </c>
      <c r="AC189" s="44">
        <v>136016.12670155382</v>
      </c>
      <c r="AD189" s="44">
        <v>0</v>
      </c>
      <c r="AE189" s="44">
        <v>0</v>
      </c>
      <c r="AF189" s="44">
        <v>0</v>
      </c>
      <c r="AG189" s="44">
        <v>138243.54</v>
      </c>
      <c r="AH189" s="44">
        <v>0</v>
      </c>
      <c r="AI189" s="44">
        <v>0</v>
      </c>
      <c r="AJ189" s="44">
        <v>0</v>
      </c>
      <c r="AK189" s="44">
        <v>3524.4746</v>
      </c>
      <c r="AL189" s="44">
        <v>0</v>
      </c>
      <c r="AM189" s="44">
        <v>0</v>
      </c>
      <c r="AN189" s="44">
        <v>0</v>
      </c>
      <c r="AO189" s="44">
        <v>0</v>
      </c>
      <c r="AP189" s="44">
        <v>0</v>
      </c>
      <c r="AQ189" s="44">
        <v>0</v>
      </c>
      <c r="AR189" s="44">
        <v>0</v>
      </c>
      <c r="AS189" s="44">
        <v>0</v>
      </c>
      <c r="AT189" s="44">
        <v>1601377.1647999999</v>
      </c>
      <c r="AU189" s="44">
        <v>750482.60750361579</v>
      </c>
      <c r="AV189" s="44">
        <v>141768.01459999999</v>
      </c>
      <c r="AW189" s="44">
        <v>450853.63024155376</v>
      </c>
      <c r="AX189" s="62">
        <v>2493627.7869036156</v>
      </c>
      <c r="AY189" s="62">
        <v>2490103.3123036157</v>
      </c>
      <c r="AZ189" s="62">
        <v>4610</v>
      </c>
      <c r="BA189" s="62">
        <v>2065280</v>
      </c>
      <c r="BB189" s="62">
        <v>0</v>
      </c>
      <c r="BC189" s="62">
        <v>0</v>
      </c>
      <c r="BD189" s="62">
        <v>2493627.7869036156</v>
      </c>
      <c r="BE189" s="44">
        <v>2493627.7869036151</v>
      </c>
      <c r="BF189" s="44">
        <v>0</v>
      </c>
      <c r="BG189" s="62">
        <v>2068804.4746000001</v>
      </c>
      <c r="BH189" s="62">
        <v>1927036.46</v>
      </c>
      <c r="BI189" s="44">
        <v>2351859.7723036157</v>
      </c>
      <c r="BJ189" s="44">
        <v>5249.6869917491422</v>
      </c>
      <c r="BK189" s="44">
        <v>5216.5481266075376</v>
      </c>
      <c r="BL189" s="45">
        <v>6.3526424634283369E-3</v>
      </c>
      <c r="BM189" s="45">
        <v>0</v>
      </c>
      <c r="BN189" s="44">
        <v>0</v>
      </c>
      <c r="BO189" s="62">
        <v>2493627.7869036156</v>
      </c>
      <c r="BP189" s="62">
        <v>5558.2663221062849</v>
      </c>
      <c r="BQ189" s="62" t="s">
        <v>92</v>
      </c>
      <c r="BR189" s="62">
        <v>5566.1334529098558</v>
      </c>
      <c r="BS189" s="53">
        <v>5.0762576536447224E-3</v>
      </c>
      <c r="BT189" s="44">
        <v>0</v>
      </c>
      <c r="BU189" s="44">
        <v>2493627.7869036156</v>
      </c>
      <c r="BV189" s="44">
        <v>0</v>
      </c>
      <c r="BW189" s="44">
        <v>2493627.7869036156</v>
      </c>
      <c r="BX189" s="44">
        <v>3524.4746</v>
      </c>
      <c r="BY189" s="44">
        <v>2490103.3123036157</v>
      </c>
    </row>
    <row r="190" spans="1:77">
      <c r="A190">
        <v>0</v>
      </c>
      <c r="B190" s="60">
        <v>138883</v>
      </c>
      <c r="C190" s="60">
        <v>3302071</v>
      </c>
      <c r="D190" s="61" t="s">
        <v>897</v>
      </c>
      <c r="E190" s="52">
        <v>209</v>
      </c>
      <c r="F190" s="52">
        <v>209</v>
      </c>
      <c r="G190" s="52">
        <v>0</v>
      </c>
      <c r="H190" s="44">
        <v>747071.04339999997</v>
      </c>
      <c r="I190" s="44">
        <v>0</v>
      </c>
      <c r="J190" s="44">
        <v>0</v>
      </c>
      <c r="K190" s="44">
        <v>67365.626300000047</v>
      </c>
      <c r="L190" s="44">
        <v>0</v>
      </c>
      <c r="M190" s="44">
        <v>113557.19160000002</v>
      </c>
      <c r="N190" s="44">
        <v>0</v>
      </c>
      <c r="O190" s="44">
        <v>1658.7100115384637</v>
      </c>
      <c r="P190" s="44">
        <v>574.75060288461555</v>
      </c>
      <c r="Q190" s="44">
        <v>10320.303140865379</v>
      </c>
      <c r="R190" s="44">
        <v>6357.5487937500002</v>
      </c>
      <c r="S190" s="44">
        <v>25964.612596153802</v>
      </c>
      <c r="T190" s="44">
        <v>62395.743024999996</v>
      </c>
      <c r="U190" s="44">
        <v>0</v>
      </c>
      <c r="V190" s="44">
        <v>0</v>
      </c>
      <c r="W190" s="44">
        <v>0</v>
      </c>
      <c r="X190" s="44">
        <v>0</v>
      </c>
      <c r="Y190" s="44">
        <v>0</v>
      </c>
      <c r="Z190" s="44">
        <v>0</v>
      </c>
      <c r="AA190" s="44">
        <v>49773.647503910572</v>
      </c>
      <c r="AB190" s="44">
        <v>0</v>
      </c>
      <c r="AC190" s="44">
        <v>113875.16361630733</v>
      </c>
      <c r="AD190" s="44">
        <v>0</v>
      </c>
      <c r="AE190" s="44">
        <v>10076.84601599997</v>
      </c>
      <c r="AF190" s="44">
        <v>0</v>
      </c>
      <c r="AG190" s="44">
        <v>138243.54</v>
      </c>
      <c r="AH190" s="44">
        <v>0</v>
      </c>
      <c r="AI190" s="44">
        <v>0</v>
      </c>
      <c r="AJ190" s="44">
        <v>0</v>
      </c>
      <c r="AK190" s="44">
        <v>5988.9659000000001</v>
      </c>
      <c r="AL190" s="44">
        <v>0</v>
      </c>
      <c r="AM190" s="44">
        <v>0</v>
      </c>
      <c r="AN190" s="44">
        <v>0</v>
      </c>
      <c r="AO190" s="44">
        <v>0</v>
      </c>
      <c r="AP190" s="44">
        <v>0</v>
      </c>
      <c r="AQ190" s="44">
        <v>0</v>
      </c>
      <c r="AR190" s="44">
        <v>0</v>
      </c>
      <c r="AS190" s="44">
        <v>0</v>
      </c>
      <c r="AT190" s="44">
        <v>747071.04339999997</v>
      </c>
      <c r="AU190" s="44">
        <v>461920.14320641023</v>
      </c>
      <c r="AV190" s="44">
        <v>144232.50590000002</v>
      </c>
      <c r="AW190" s="44">
        <v>295325.9588214035</v>
      </c>
      <c r="AX190" s="62">
        <v>1353223.6925064102</v>
      </c>
      <c r="AY190" s="62">
        <v>1347234.7266064102</v>
      </c>
      <c r="AZ190" s="62">
        <v>4610</v>
      </c>
      <c r="BA190" s="62">
        <v>963490</v>
      </c>
      <c r="BB190" s="62">
        <v>0</v>
      </c>
      <c r="BC190" s="62">
        <v>0</v>
      </c>
      <c r="BD190" s="62">
        <v>1353223.6925064102</v>
      </c>
      <c r="BE190" s="44">
        <v>1353223.6925064099</v>
      </c>
      <c r="BF190" s="44">
        <v>0</v>
      </c>
      <c r="BG190" s="62">
        <v>969478.96589999995</v>
      </c>
      <c r="BH190" s="62">
        <v>825246.46</v>
      </c>
      <c r="BI190" s="44">
        <v>1208991.1866064102</v>
      </c>
      <c r="BJ190" s="44">
        <v>5784.6468258679915</v>
      </c>
      <c r="BK190" s="44">
        <v>5934.3333671428572</v>
      </c>
      <c r="BL190" s="45">
        <v>-2.5223817405278962E-2</v>
      </c>
      <c r="BM190" s="45">
        <v>3.0223817405278963E-2</v>
      </c>
      <c r="BN190" s="44">
        <v>37485.865495111218</v>
      </c>
      <c r="BO190" s="62">
        <v>1390709.5580015215</v>
      </c>
      <c r="BP190" s="62">
        <v>6625.4573784761797</v>
      </c>
      <c r="BQ190" s="62" t="s">
        <v>92</v>
      </c>
      <c r="BR190" s="62">
        <v>6654.1127177106291</v>
      </c>
      <c r="BS190" s="53">
        <v>6.83656749313033E-3</v>
      </c>
      <c r="BT190" s="44">
        <v>0</v>
      </c>
      <c r="BU190" s="44">
        <v>1390709.5580015215</v>
      </c>
      <c r="BV190" s="44">
        <v>0</v>
      </c>
      <c r="BW190" s="44">
        <v>1390709.5580015215</v>
      </c>
      <c r="BX190" s="44">
        <v>5988.9659000000001</v>
      </c>
      <c r="BY190" s="44">
        <v>1384720.5921015216</v>
      </c>
    </row>
    <row r="191" spans="1:77">
      <c r="A191">
        <v>0</v>
      </c>
      <c r="B191" s="60">
        <v>138888</v>
      </c>
      <c r="C191" s="60">
        <v>3302072</v>
      </c>
      <c r="D191" s="61" t="s">
        <v>898</v>
      </c>
      <c r="E191" s="52">
        <v>644</v>
      </c>
      <c r="F191" s="52">
        <v>644</v>
      </c>
      <c r="G191" s="52">
        <v>0</v>
      </c>
      <c r="H191" s="44">
        <v>2301979.6743999999</v>
      </c>
      <c r="I191" s="44">
        <v>0</v>
      </c>
      <c r="J191" s="44">
        <v>0</v>
      </c>
      <c r="K191" s="44">
        <v>136698.13219999988</v>
      </c>
      <c r="L191" s="44">
        <v>0</v>
      </c>
      <c r="M191" s="44">
        <v>232051.65240000005</v>
      </c>
      <c r="N191" s="44">
        <v>0</v>
      </c>
      <c r="O191" s="44">
        <v>2594.0727999999995</v>
      </c>
      <c r="P191" s="44">
        <v>27170.02850000008</v>
      </c>
      <c r="Q191" s="44">
        <v>47335.561399999868</v>
      </c>
      <c r="R191" s="44">
        <v>5353.7252999999982</v>
      </c>
      <c r="S191" s="44">
        <v>121449.78600000009</v>
      </c>
      <c r="T191" s="44">
        <v>49814.236400000118</v>
      </c>
      <c r="U191" s="44">
        <v>0</v>
      </c>
      <c r="V191" s="44">
        <v>0</v>
      </c>
      <c r="W191" s="44">
        <v>0</v>
      </c>
      <c r="X191" s="44">
        <v>0</v>
      </c>
      <c r="Y191" s="44">
        <v>0</v>
      </c>
      <c r="Z191" s="44">
        <v>0</v>
      </c>
      <c r="AA191" s="44">
        <v>55360.240958257666</v>
      </c>
      <c r="AB191" s="44">
        <v>0</v>
      </c>
      <c r="AC191" s="44">
        <v>226743.95711739123</v>
      </c>
      <c r="AD191" s="44">
        <v>0</v>
      </c>
      <c r="AE191" s="44">
        <v>17687.465855999977</v>
      </c>
      <c r="AF191" s="44">
        <v>0</v>
      </c>
      <c r="AG191" s="44">
        <v>138243.54</v>
      </c>
      <c r="AH191" s="44">
        <v>0</v>
      </c>
      <c r="AI191" s="44">
        <v>0</v>
      </c>
      <c r="AJ191" s="44">
        <v>0</v>
      </c>
      <c r="AK191" s="44">
        <v>3444.9792000000002</v>
      </c>
      <c r="AL191" s="44">
        <v>0</v>
      </c>
      <c r="AM191" s="44">
        <v>0</v>
      </c>
      <c r="AN191" s="44">
        <v>0</v>
      </c>
      <c r="AO191" s="44">
        <v>0</v>
      </c>
      <c r="AP191" s="44">
        <v>0</v>
      </c>
      <c r="AQ191" s="44">
        <v>0</v>
      </c>
      <c r="AR191" s="44">
        <v>0</v>
      </c>
      <c r="AS191" s="44">
        <v>0</v>
      </c>
      <c r="AT191" s="44">
        <v>2301979.6743999999</v>
      </c>
      <c r="AU191" s="44">
        <v>922258.85893164913</v>
      </c>
      <c r="AV191" s="44">
        <v>141688.51920000001</v>
      </c>
      <c r="AW191" s="44">
        <v>653076.53833739134</v>
      </c>
      <c r="AX191" s="62">
        <v>3365927.0525316489</v>
      </c>
      <c r="AY191" s="62">
        <v>3362482.0733316489</v>
      </c>
      <c r="AZ191" s="62">
        <v>4610</v>
      </c>
      <c r="BA191" s="62">
        <v>2968840</v>
      </c>
      <c r="BB191" s="62">
        <v>0</v>
      </c>
      <c r="BC191" s="62">
        <v>0</v>
      </c>
      <c r="BD191" s="62">
        <v>3365927.0525316489</v>
      </c>
      <c r="BE191" s="44">
        <v>3365927.0525316494</v>
      </c>
      <c r="BF191" s="44">
        <v>0</v>
      </c>
      <c r="BG191" s="62">
        <v>2972284.9791999999</v>
      </c>
      <c r="BH191" s="62">
        <v>2830596.46</v>
      </c>
      <c r="BI191" s="44">
        <v>3224238.5333316489</v>
      </c>
      <c r="BJ191" s="44">
        <v>5006.5815734963489</v>
      </c>
      <c r="BK191" s="44">
        <v>5159.3257030158729</v>
      </c>
      <c r="BL191" s="45">
        <v>-2.9605444259942292E-2</v>
      </c>
      <c r="BM191" s="45">
        <v>3.4605444259942289E-2</v>
      </c>
      <c r="BN191" s="44">
        <v>114980.24817428456</v>
      </c>
      <c r="BO191" s="62">
        <v>3480907.3007059335</v>
      </c>
      <c r="BP191" s="62">
        <v>5399.7862135185305</v>
      </c>
      <c r="BQ191" s="62" t="s">
        <v>92</v>
      </c>
      <c r="BR191" s="62">
        <v>5405.1355601023815</v>
      </c>
      <c r="BS191" s="53">
        <v>3.182310308635028E-3</v>
      </c>
      <c r="BT191" s="44">
        <v>0</v>
      </c>
      <c r="BU191" s="44">
        <v>3480907.3007059335</v>
      </c>
      <c r="BV191" s="44">
        <v>0</v>
      </c>
      <c r="BW191" s="44">
        <v>3480907.3007059335</v>
      </c>
      <c r="BX191" s="44">
        <v>3444.9792000000002</v>
      </c>
      <c r="BY191" s="44">
        <v>3477462.3215059335</v>
      </c>
    </row>
    <row r="192" spans="1:77">
      <c r="A192">
        <v>0</v>
      </c>
      <c r="B192" s="60">
        <v>138889</v>
      </c>
      <c r="C192" s="60">
        <v>3302073</v>
      </c>
      <c r="D192" s="61" t="s">
        <v>899</v>
      </c>
      <c r="E192" s="52">
        <v>409</v>
      </c>
      <c r="F192" s="52">
        <v>409</v>
      </c>
      <c r="G192" s="52">
        <v>0</v>
      </c>
      <c r="H192" s="44">
        <v>1461971.5633999999</v>
      </c>
      <c r="I192" s="44">
        <v>0</v>
      </c>
      <c r="J192" s="44">
        <v>0</v>
      </c>
      <c r="K192" s="44">
        <v>117521.05610000005</v>
      </c>
      <c r="L192" s="44">
        <v>0</v>
      </c>
      <c r="M192" s="44">
        <v>202428.03720000011</v>
      </c>
      <c r="N192" s="44">
        <v>0</v>
      </c>
      <c r="O192" s="44">
        <v>4952.3207999999986</v>
      </c>
      <c r="P192" s="44">
        <v>1430.0014999999971</v>
      </c>
      <c r="Q192" s="44">
        <v>3125.9333000000047</v>
      </c>
      <c r="R192" s="44">
        <v>17521.282800000004</v>
      </c>
      <c r="S192" s="44">
        <v>111630.44160000001</v>
      </c>
      <c r="T192" s="44">
        <v>44355.141999999971</v>
      </c>
      <c r="U192" s="44">
        <v>0</v>
      </c>
      <c r="V192" s="44">
        <v>0</v>
      </c>
      <c r="W192" s="44">
        <v>0</v>
      </c>
      <c r="X192" s="44">
        <v>0</v>
      </c>
      <c r="Y192" s="44">
        <v>0</v>
      </c>
      <c r="Z192" s="44">
        <v>0</v>
      </c>
      <c r="AA192" s="44">
        <v>40359.499683333415</v>
      </c>
      <c r="AB192" s="44">
        <v>0</v>
      </c>
      <c r="AC192" s="44">
        <v>168898.96248735476</v>
      </c>
      <c r="AD192" s="44">
        <v>0</v>
      </c>
      <c r="AE192" s="44">
        <v>19710.542016000152</v>
      </c>
      <c r="AF192" s="44">
        <v>0</v>
      </c>
      <c r="AG192" s="44">
        <v>138243.54</v>
      </c>
      <c r="AH192" s="44">
        <v>0</v>
      </c>
      <c r="AI192" s="44">
        <v>0</v>
      </c>
      <c r="AJ192" s="44">
        <v>0</v>
      </c>
      <c r="AK192" s="44">
        <v>8691.9434000000001</v>
      </c>
      <c r="AL192" s="44">
        <v>0</v>
      </c>
      <c r="AM192" s="44">
        <v>0</v>
      </c>
      <c r="AN192" s="44">
        <v>0</v>
      </c>
      <c r="AO192" s="44">
        <v>0</v>
      </c>
      <c r="AP192" s="44">
        <v>0</v>
      </c>
      <c r="AQ192" s="44">
        <v>0</v>
      </c>
      <c r="AR192" s="44">
        <v>0</v>
      </c>
      <c r="AS192" s="44">
        <v>0</v>
      </c>
      <c r="AT192" s="44">
        <v>1461971.5633999999</v>
      </c>
      <c r="AU192" s="44">
        <v>731933.2194866885</v>
      </c>
      <c r="AV192" s="44">
        <v>146935.4834</v>
      </c>
      <c r="AW192" s="44">
        <v>493479.64830735483</v>
      </c>
      <c r="AX192" s="62">
        <v>2340840.2662866884</v>
      </c>
      <c r="AY192" s="62">
        <v>2332148.3228866882</v>
      </c>
      <c r="AZ192" s="62">
        <v>4610</v>
      </c>
      <c r="BA192" s="62">
        <v>1885490</v>
      </c>
      <c r="BB192" s="62">
        <v>0</v>
      </c>
      <c r="BC192" s="62">
        <v>0</v>
      </c>
      <c r="BD192" s="62">
        <v>2340840.2662866884</v>
      </c>
      <c r="BE192" s="44">
        <v>2340840.2662866879</v>
      </c>
      <c r="BF192" s="44">
        <v>0</v>
      </c>
      <c r="BG192" s="62">
        <v>1894181.9434</v>
      </c>
      <c r="BH192" s="62">
        <v>1747246.46</v>
      </c>
      <c r="BI192" s="44">
        <v>2193904.7828866881</v>
      </c>
      <c r="BJ192" s="44">
        <v>5364.0703738060838</v>
      </c>
      <c r="BK192" s="44">
        <v>5357.2853896464649</v>
      </c>
      <c r="BL192" s="45">
        <v>1.2664966799662495E-3</v>
      </c>
      <c r="BM192" s="45">
        <v>3.7335033200337504E-3</v>
      </c>
      <c r="BN192" s="44">
        <v>8180.5901005428732</v>
      </c>
      <c r="BO192" s="62">
        <v>2349020.856387231</v>
      </c>
      <c r="BP192" s="62">
        <v>5722.0755818758698</v>
      </c>
      <c r="BQ192" s="62" t="s">
        <v>92</v>
      </c>
      <c r="BR192" s="62">
        <v>5743.3272772303935</v>
      </c>
      <c r="BS192" s="53">
        <v>4.9863201559974257E-3</v>
      </c>
      <c r="BT192" s="44">
        <v>0</v>
      </c>
      <c r="BU192" s="44">
        <v>2349020.856387231</v>
      </c>
      <c r="BV192" s="44">
        <v>0</v>
      </c>
      <c r="BW192" s="44">
        <v>2349020.856387231</v>
      </c>
      <c r="BX192" s="44">
        <v>8691.9434000000001</v>
      </c>
      <c r="BY192" s="44">
        <v>2340328.9129872308</v>
      </c>
    </row>
    <row r="193" spans="1:77">
      <c r="A193">
        <v>0</v>
      </c>
      <c r="B193" s="60">
        <v>138998</v>
      </c>
      <c r="C193" s="60">
        <v>3302075</v>
      </c>
      <c r="D193" s="61" t="s">
        <v>900</v>
      </c>
      <c r="E193" s="52">
        <v>383</v>
      </c>
      <c r="F193" s="52">
        <v>383</v>
      </c>
      <c r="G193" s="52">
        <v>0</v>
      </c>
      <c r="H193" s="44">
        <v>1369034.4957999999</v>
      </c>
      <c r="I193" s="44">
        <v>0</v>
      </c>
      <c r="J193" s="44">
        <v>0</v>
      </c>
      <c r="K193" s="44">
        <v>99819.139699999912</v>
      </c>
      <c r="L193" s="44">
        <v>0</v>
      </c>
      <c r="M193" s="44">
        <v>169512.90919999994</v>
      </c>
      <c r="N193" s="44">
        <v>0</v>
      </c>
      <c r="O193" s="44">
        <v>4009.0215999999991</v>
      </c>
      <c r="P193" s="44">
        <v>10582.011100000002</v>
      </c>
      <c r="Q193" s="44">
        <v>22328.095000000059</v>
      </c>
      <c r="R193" s="44">
        <v>66191.512799999909</v>
      </c>
      <c r="S193" s="44">
        <v>60983.296800000018</v>
      </c>
      <c r="T193" s="44">
        <v>8871.0284000000029</v>
      </c>
      <c r="U193" s="44">
        <v>0</v>
      </c>
      <c r="V193" s="44">
        <v>0</v>
      </c>
      <c r="W193" s="44">
        <v>0</v>
      </c>
      <c r="X193" s="44">
        <v>0</v>
      </c>
      <c r="Y193" s="44">
        <v>0</v>
      </c>
      <c r="Z193" s="44">
        <v>0</v>
      </c>
      <c r="AA193" s="44">
        <v>97568.716413946575</v>
      </c>
      <c r="AB193" s="44">
        <v>0</v>
      </c>
      <c r="AC193" s="44">
        <v>150621.40212236554</v>
      </c>
      <c r="AD193" s="44">
        <v>0</v>
      </c>
      <c r="AE193" s="44">
        <v>13599.752460062829</v>
      </c>
      <c r="AF193" s="44">
        <v>0</v>
      </c>
      <c r="AG193" s="44">
        <v>138243.54</v>
      </c>
      <c r="AH193" s="44">
        <v>0</v>
      </c>
      <c r="AI193" s="44">
        <v>0</v>
      </c>
      <c r="AJ193" s="44">
        <v>0</v>
      </c>
      <c r="AK193" s="44">
        <v>4080.9733000000001</v>
      </c>
      <c r="AL193" s="44">
        <v>0</v>
      </c>
      <c r="AM193" s="44">
        <v>0</v>
      </c>
      <c r="AN193" s="44">
        <v>0</v>
      </c>
      <c r="AO193" s="44">
        <v>0</v>
      </c>
      <c r="AP193" s="44">
        <v>0</v>
      </c>
      <c r="AQ193" s="44">
        <v>0</v>
      </c>
      <c r="AR193" s="44">
        <v>0</v>
      </c>
      <c r="AS193" s="44">
        <v>0</v>
      </c>
      <c r="AT193" s="44">
        <v>1369034.4957999999</v>
      </c>
      <c r="AU193" s="44">
        <v>704086.88559637475</v>
      </c>
      <c r="AV193" s="44">
        <v>142324.51330000002</v>
      </c>
      <c r="AW193" s="44">
        <v>440221.63421236543</v>
      </c>
      <c r="AX193" s="62">
        <v>2215445.8946963749</v>
      </c>
      <c r="AY193" s="62">
        <v>2211364.9213963747</v>
      </c>
      <c r="AZ193" s="62">
        <v>4610</v>
      </c>
      <c r="BA193" s="62">
        <v>1765630</v>
      </c>
      <c r="BB193" s="62">
        <v>0</v>
      </c>
      <c r="BC193" s="62">
        <v>0</v>
      </c>
      <c r="BD193" s="62">
        <v>2215445.8946963749</v>
      </c>
      <c r="BE193" s="44">
        <v>2215445.8946963749</v>
      </c>
      <c r="BF193" s="44">
        <v>0</v>
      </c>
      <c r="BG193" s="62">
        <v>1769710.9733</v>
      </c>
      <c r="BH193" s="62">
        <v>1627386.46</v>
      </c>
      <c r="BI193" s="44">
        <v>2073121.3813963749</v>
      </c>
      <c r="BJ193" s="44">
        <v>5412.8495597816573</v>
      </c>
      <c r="BK193" s="44">
        <v>5386.0316763959408</v>
      </c>
      <c r="BL193" s="45">
        <v>4.9791544121889717E-3</v>
      </c>
      <c r="BM193" s="45">
        <v>2.0845587811028389E-5</v>
      </c>
      <c r="BN193" s="44">
        <v>43.001323568840846</v>
      </c>
      <c r="BO193" s="62">
        <v>2215488.8960199435</v>
      </c>
      <c r="BP193" s="62">
        <v>5773.911025378442</v>
      </c>
      <c r="BQ193" s="62" t="s">
        <v>92</v>
      </c>
      <c r="BR193" s="62">
        <v>5784.5663081460671</v>
      </c>
      <c r="BS193" s="53">
        <v>4.5576611114628296E-3</v>
      </c>
      <c r="BT193" s="44">
        <v>0</v>
      </c>
      <c r="BU193" s="44">
        <v>2215488.8960199435</v>
      </c>
      <c r="BV193" s="44">
        <v>0</v>
      </c>
      <c r="BW193" s="44">
        <v>2215488.8960199435</v>
      </c>
      <c r="BX193" s="44">
        <v>4080.9733000000001</v>
      </c>
      <c r="BY193" s="44">
        <v>2211407.9227199433</v>
      </c>
    </row>
    <row r="194" spans="1:77">
      <c r="A194">
        <v>0</v>
      </c>
      <c r="B194" s="60">
        <v>139000</v>
      </c>
      <c r="C194" s="60">
        <v>3302078</v>
      </c>
      <c r="D194" s="61" t="s">
        <v>901</v>
      </c>
      <c r="E194" s="52">
        <v>419</v>
      </c>
      <c r="F194" s="52">
        <v>419</v>
      </c>
      <c r="G194" s="52">
        <v>0</v>
      </c>
      <c r="H194" s="44">
        <v>1497716.5893999999</v>
      </c>
      <c r="I194" s="44">
        <v>0</v>
      </c>
      <c r="J194" s="44">
        <v>0</v>
      </c>
      <c r="K194" s="44">
        <v>63923.587000000094</v>
      </c>
      <c r="L194" s="44">
        <v>0</v>
      </c>
      <c r="M194" s="44">
        <v>109442.80060000008</v>
      </c>
      <c r="N194" s="44">
        <v>0</v>
      </c>
      <c r="O194" s="44">
        <v>1181.9448708133993</v>
      </c>
      <c r="P194" s="44">
        <v>36408.932927990398</v>
      </c>
      <c r="Q194" s="44">
        <v>4923.9325289473663</v>
      </c>
      <c r="R194" s="44">
        <v>27320.532935885225</v>
      </c>
      <c r="S194" s="44">
        <v>7770.6597272727195</v>
      </c>
      <c r="T194" s="44">
        <v>6156.1737387559815</v>
      </c>
      <c r="U194" s="44">
        <v>0</v>
      </c>
      <c r="V194" s="44">
        <v>0</v>
      </c>
      <c r="W194" s="44">
        <v>0</v>
      </c>
      <c r="X194" s="44">
        <v>0</v>
      </c>
      <c r="Y194" s="44">
        <v>0</v>
      </c>
      <c r="Z194" s="44">
        <v>0</v>
      </c>
      <c r="AA194" s="44">
        <v>48790.906382548405</v>
      </c>
      <c r="AB194" s="44">
        <v>0</v>
      </c>
      <c r="AC194" s="44">
        <v>109841.1505771591</v>
      </c>
      <c r="AD194" s="44">
        <v>0</v>
      </c>
      <c r="AE194" s="44">
        <v>19132.520255999971</v>
      </c>
      <c r="AF194" s="44">
        <v>0</v>
      </c>
      <c r="AG194" s="44">
        <v>138243.54</v>
      </c>
      <c r="AH194" s="44">
        <v>0</v>
      </c>
      <c r="AI194" s="44">
        <v>0</v>
      </c>
      <c r="AJ194" s="44">
        <v>0</v>
      </c>
      <c r="AK194" s="44">
        <v>4610.9700999999995</v>
      </c>
      <c r="AL194" s="44">
        <v>0</v>
      </c>
      <c r="AM194" s="44">
        <v>0</v>
      </c>
      <c r="AN194" s="44">
        <v>0</v>
      </c>
      <c r="AO194" s="44">
        <v>0</v>
      </c>
      <c r="AP194" s="44">
        <v>0</v>
      </c>
      <c r="AQ194" s="44">
        <v>0</v>
      </c>
      <c r="AR194" s="44">
        <v>0</v>
      </c>
      <c r="AS194" s="44">
        <v>0</v>
      </c>
      <c r="AT194" s="44">
        <v>1497716.5893999999</v>
      </c>
      <c r="AU194" s="44">
        <v>434893.14154537278</v>
      </c>
      <c r="AV194" s="44">
        <v>142854.51010000001</v>
      </c>
      <c r="AW194" s="44">
        <v>313291.26221199171</v>
      </c>
      <c r="AX194" s="62">
        <v>2075464.2410453728</v>
      </c>
      <c r="AY194" s="62">
        <v>2070853.2709453728</v>
      </c>
      <c r="AZ194" s="62">
        <v>4610</v>
      </c>
      <c r="BA194" s="62">
        <v>1931590</v>
      </c>
      <c r="BB194" s="62">
        <v>0</v>
      </c>
      <c r="BC194" s="62">
        <v>0</v>
      </c>
      <c r="BD194" s="62">
        <v>2075464.2410453728</v>
      </c>
      <c r="BE194" s="44">
        <v>2075464.2410453726</v>
      </c>
      <c r="BF194" s="44">
        <v>0</v>
      </c>
      <c r="BG194" s="62">
        <v>1936200.9701</v>
      </c>
      <c r="BH194" s="62">
        <v>1793346.46</v>
      </c>
      <c r="BI194" s="44">
        <v>1932609.7309453727</v>
      </c>
      <c r="BJ194" s="44">
        <v>4612.4337254066177</v>
      </c>
      <c r="BK194" s="44">
        <v>4910.2620618138426</v>
      </c>
      <c r="BL194" s="45">
        <v>-6.0654265018435218E-2</v>
      </c>
      <c r="BM194" s="45">
        <v>6.5654265018435215E-2</v>
      </c>
      <c r="BN194" s="44">
        <v>135077.07197412723</v>
      </c>
      <c r="BO194" s="62">
        <v>2210541.3130195001</v>
      </c>
      <c r="BP194" s="62">
        <v>5264.7502217649162</v>
      </c>
      <c r="BQ194" s="62" t="s">
        <v>92</v>
      </c>
      <c r="BR194" s="62">
        <v>5275.7549236742243</v>
      </c>
      <c r="BS194" s="53">
        <v>4.9717366812807029E-3</v>
      </c>
      <c r="BT194" s="44">
        <v>0</v>
      </c>
      <c r="BU194" s="44">
        <v>2210541.3130195001</v>
      </c>
      <c r="BV194" s="44">
        <v>0</v>
      </c>
      <c r="BW194" s="44">
        <v>2210541.3130195001</v>
      </c>
      <c r="BX194" s="44">
        <v>4610.9700999999995</v>
      </c>
      <c r="BY194" s="44">
        <v>2205930.3429195001</v>
      </c>
    </row>
    <row r="195" spans="1:77">
      <c r="A195">
        <v>0</v>
      </c>
      <c r="B195" s="60">
        <v>139002</v>
      </c>
      <c r="C195" s="60">
        <v>3302080</v>
      </c>
      <c r="D195" s="61" t="s">
        <v>902</v>
      </c>
      <c r="E195" s="52">
        <v>211</v>
      </c>
      <c r="F195" s="52">
        <v>211</v>
      </c>
      <c r="G195" s="52">
        <v>0</v>
      </c>
      <c r="H195" s="44">
        <v>754220.04859999998</v>
      </c>
      <c r="I195" s="44">
        <v>0</v>
      </c>
      <c r="J195" s="44">
        <v>0</v>
      </c>
      <c r="K195" s="44">
        <v>71299.38549999996</v>
      </c>
      <c r="L195" s="44">
        <v>0</v>
      </c>
      <c r="M195" s="44">
        <v>131660.51199999996</v>
      </c>
      <c r="N195" s="44">
        <v>0</v>
      </c>
      <c r="O195" s="44">
        <v>1421.6866514285728</v>
      </c>
      <c r="P195" s="44">
        <v>862.08661857142931</v>
      </c>
      <c r="Q195" s="44">
        <v>2243.4419261904754</v>
      </c>
      <c r="R195" s="44">
        <v>15648.637759999961</v>
      </c>
      <c r="S195" s="44">
        <v>43618.561439999998</v>
      </c>
      <c r="T195" s="44">
        <v>50737.083310476133</v>
      </c>
      <c r="U195" s="44">
        <v>0</v>
      </c>
      <c r="V195" s="44">
        <v>0</v>
      </c>
      <c r="W195" s="44">
        <v>0</v>
      </c>
      <c r="X195" s="44">
        <v>0</v>
      </c>
      <c r="Y195" s="44">
        <v>0</v>
      </c>
      <c r="Z195" s="44">
        <v>0</v>
      </c>
      <c r="AA195" s="44">
        <v>5948.9028523809511</v>
      </c>
      <c r="AB195" s="44">
        <v>0</v>
      </c>
      <c r="AC195" s="44">
        <v>92433.674917645738</v>
      </c>
      <c r="AD195" s="44">
        <v>0</v>
      </c>
      <c r="AE195" s="44">
        <v>1290.9152639999929</v>
      </c>
      <c r="AF195" s="44">
        <v>0</v>
      </c>
      <c r="AG195" s="44">
        <v>138243.54</v>
      </c>
      <c r="AH195" s="44">
        <v>0</v>
      </c>
      <c r="AI195" s="44">
        <v>0</v>
      </c>
      <c r="AJ195" s="44">
        <v>0</v>
      </c>
      <c r="AK195" s="44">
        <v>6783.9611000000004</v>
      </c>
      <c r="AL195" s="44">
        <v>0</v>
      </c>
      <c r="AM195" s="44">
        <v>0</v>
      </c>
      <c r="AN195" s="44">
        <v>0</v>
      </c>
      <c r="AO195" s="44">
        <v>0</v>
      </c>
      <c r="AP195" s="44">
        <v>0</v>
      </c>
      <c r="AQ195" s="44">
        <v>0</v>
      </c>
      <c r="AR195" s="44">
        <v>0</v>
      </c>
      <c r="AS195" s="44">
        <v>0</v>
      </c>
      <c r="AT195" s="44">
        <v>754220.04859999998</v>
      </c>
      <c r="AU195" s="44">
        <v>417164.8882406932</v>
      </c>
      <c r="AV195" s="44">
        <v>145027.50109999999</v>
      </c>
      <c r="AW195" s="44">
        <v>288890.37495097902</v>
      </c>
      <c r="AX195" s="62">
        <v>1316412.4379406932</v>
      </c>
      <c r="AY195" s="62">
        <v>1309628.4768406933</v>
      </c>
      <c r="AZ195" s="62">
        <v>4610</v>
      </c>
      <c r="BA195" s="62">
        <v>972710</v>
      </c>
      <c r="BB195" s="62">
        <v>0</v>
      </c>
      <c r="BC195" s="62">
        <v>0</v>
      </c>
      <c r="BD195" s="62">
        <v>1316412.4379406932</v>
      </c>
      <c r="BE195" s="44">
        <v>1316412.437940693</v>
      </c>
      <c r="BF195" s="44">
        <v>0</v>
      </c>
      <c r="BG195" s="62">
        <v>979493.96109999996</v>
      </c>
      <c r="BH195" s="62">
        <v>834466.46</v>
      </c>
      <c r="BI195" s="44">
        <v>1171384.9368406932</v>
      </c>
      <c r="BJ195" s="44">
        <v>5551.5873783919114</v>
      </c>
      <c r="BK195" s="44">
        <v>5679.7330236453208</v>
      </c>
      <c r="BL195" s="45">
        <v>-2.256191351247069E-2</v>
      </c>
      <c r="BM195" s="45">
        <v>2.7561913512470691E-2</v>
      </c>
      <c r="BN195" s="44">
        <v>33030.849488415195</v>
      </c>
      <c r="BO195" s="62">
        <v>1349443.2874291085</v>
      </c>
      <c r="BP195" s="62">
        <v>6363.314342791984</v>
      </c>
      <c r="BQ195" s="62" t="s">
        <v>92</v>
      </c>
      <c r="BR195" s="62">
        <v>6395.4658171995661</v>
      </c>
      <c r="BS195" s="53">
        <v>1.986212199451165E-3</v>
      </c>
      <c r="BT195" s="44">
        <v>0</v>
      </c>
      <c r="BU195" s="44">
        <v>1349443.2874291085</v>
      </c>
      <c r="BV195" s="44">
        <v>0</v>
      </c>
      <c r="BW195" s="44">
        <v>1349443.2874291085</v>
      </c>
      <c r="BX195" s="44">
        <v>6783.9611000000004</v>
      </c>
      <c r="BY195" s="44">
        <v>1342659.3263291086</v>
      </c>
    </row>
    <row r="196" spans="1:77">
      <c r="A196">
        <v>0</v>
      </c>
      <c r="B196" s="60">
        <v>143086</v>
      </c>
      <c r="C196" s="60">
        <v>3302082</v>
      </c>
      <c r="D196" s="61" t="s">
        <v>903</v>
      </c>
      <c r="E196" s="52">
        <v>392</v>
      </c>
      <c r="F196" s="52">
        <v>392</v>
      </c>
      <c r="G196" s="52">
        <v>0</v>
      </c>
      <c r="H196" s="44">
        <v>1401205.0192</v>
      </c>
      <c r="I196" s="44">
        <v>0</v>
      </c>
      <c r="J196" s="44">
        <v>0</v>
      </c>
      <c r="K196" s="44">
        <v>122438.25509999998</v>
      </c>
      <c r="L196" s="44">
        <v>0</v>
      </c>
      <c r="M196" s="44">
        <v>205719.54999999987</v>
      </c>
      <c r="N196" s="44">
        <v>0</v>
      </c>
      <c r="O196" s="44">
        <v>2127.8513923273626</v>
      </c>
      <c r="P196" s="44">
        <v>2580.5858271099705</v>
      </c>
      <c r="Q196" s="44">
        <v>6715.5600306905326</v>
      </c>
      <c r="R196" s="44">
        <v>98077.359646035839</v>
      </c>
      <c r="S196" s="44">
        <v>38859.701892583202</v>
      </c>
      <c r="T196" s="44">
        <v>49257.506504347861</v>
      </c>
      <c r="U196" s="44">
        <v>0</v>
      </c>
      <c r="V196" s="44">
        <v>0</v>
      </c>
      <c r="W196" s="44">
        <v>0</v>
      </c>
      <c r="X196" s="44">
        <v>0</v>
      </c>
      <c r="Y196" s="44">
        <v>0</v>
      </c>
      <c r="Z196" s="44">
        <v>0</v>
      </c>
      <c r="AA196" s="44">
        <v>86950.815746397799</v>
      </c>
      <c r="AB196" s="44">
        <v>0</v>
      </c>
      <c r="AC196" s="44">
        <v>169334.20374405259</v>
      </c>
      <c r="AD196" s="44">
        <v>0</v>
      </c>
      <c r="AE196" s="44">
        <v>18766.439807999846</v>
      </c>
      <c r="AF196" s="44">
        <v>0</v>
      </c>
      <c r="AG196" s="44">
        <v>138243.54</v>
      </c>
      <c r="AH196" s="44">
        <v>0</v>
      </c>
      <c r="AI196" s="44">
        <v>0</v>
      </c>
      <c r="AJ196" s="44">
        <v>0</v>
      </c>
      <c r="AK196" s="44">
        <v>8532.9526000000005</v>
      </c>
      <c r="AL196" s="44">
        <v>0</v>
      </c>
      <c r="AM196" s="44">
        <v>0</v>
      </c>
      <c r="AN196" s="44">
        <v>0</v>
      </c>
      <c r="AO196" s="44">
        <v>0</v>
      </c>
      <c r="AP196" s="44">
        <v>0</v>
      </c>
      <c r="AQ196" s="44">
        <v>0</v>
      </c>
      <c r="AR196" s="44">
        <v>0</v>
      </c>
      <c r="AS196" s="44">
        <v>0</v>
      </c>
      <c r="AT196" s="44">
        <v>1401205.0192</v>
      </c>
      <c r="AU196" s="44">
        <v>800827.82969154487</v>
      </c>
      <c r="AV196" s="44">
        <v>146776.4926</v>
      </c>
      <c r="AW196" s="44">
        <v>502282.63990059996</v>
      </c>
      <c r="AX196" s="62">
        <v>2348809.3414915451</v>
      </c>
      <c r="AY196" s="62">
        <v>2340276.3888915451</v>
      </c>
      <c r="AZ196" s="62">
        <v>4610</v>
      </c>
      <c r="BA196" s="62">
        <v>1807120</v>
      </c>
      <c r="BB196" s="62">
        <v>0</v>
      </c>
      <c r="BC196" s="62">
        <v>0</v>
      </c>
      <c r="BD196" s="62">
        <v>2348809.3414915451</v>
      </c>
      <c r="BE196" s="44">
        <v>2348809.3414915446</v>
      </c>
      <c r="BF196" s="44">
        <v>0</v>
      </c>
      <c r="BG196" s="62">
        <v>1815652.9526</v>
      </c>
      <c r="BH196" s="62">
        <v>1668876.46</v>
      </c>
      <c r="BI196" s="44">
        <v>2202032.8488915451</v>
      </c>
      <c r="BJ196" s="44">
        <v>5617.4307369682274</v>
      </c>
      <c r="BK196" s="44">
        <v>5527.1214152119701</v>
      </c>
      <c r="BL196" s="45">
        <v>1.6339304851835584E-2</v>
      </c>
      <c r="BM196" s="45">
        <v>0</v>
      </c>
      <c r="BN196" s="44">
        <v>0</v>
      </c>
      <c r="BO196" s="62">
        <v>2348809.3414915451</v>
      </c>
      <c r="BP196" s="62">
        <v>5970.0928288049618</v>
      </c>
      <c r="BQ196" s="62" t="s">
        <v>92</v>
      </c>
      <c r="BR196" s="62">
        <v>5991.8605650294521</v>
      </c>
      <c r="BS196" s="53">
        <v>1.7588679749354297E-2</v>
      </c>
      <c r="BT196" s="44">
        <v>0</v>
      </c>
      <c r="BU196" s="44">
        <v>2348809.3414915451</v>
      </c>
      <c r="BV196" s="44">
        <v>0</v>
      </c>
      <c r="BW196" s="44">
        <v>2348809.3414915451</v>
      </c>
      <c r="BX196" s="44">
        <v>8532.9526000000005</v>
      </c>
      <c r="BY196" s="44">
        <v>2340276.3888915451</v>
      </c>
    </row>
    <row r="197" spans="1:77">
      <c r="A197">
        <v>0</v>
      </c>
      <c r="B197" s="60">
        <v>138693</v>
      </c>
      <c r="C197" s="60">
        <v>3302085</v>
      </c>
      <c r="D197" s="61" t="s">
        <v>904</v>
      </c>
      <c r="E197" s="52">
        <v>637</v>
      </c>
      <c r="F197" s="52">
        <v>637</v>
      </c>
      <c r="G197" s="52">
        <v>0</v>
      </c>
      <c r="H197" s="44">
        <v>2276958.1562000001</v>
      </c>
      <c r="I197" s="44">
        <v>0</v>
      </c>
      <c r="J197" s="44">
        <v>0</v>
      </c>
      <c r="K197" s="44">
        <v>92443.341200000054</v>
      </c>
      <c r="L197" s="44">
        <v>0</v>
      </c>
      <c r="M197" s="44">
        <v>156346.85800000024</v>
      </c>
      <c r="N197" s="44">
        <v>0</v>
      </c>
      <c r="O197" s="44">
        <v>45042.536799999943</v>
      </c>
      <c r="P197" s="44">
        <v>17446.0183</v>
      </c>
      <c r="Q197" s="44">
        <v>8038.1142</v>
      </c>
      <c r="R197" s="44">
        <v>9734.0459999999966</v>
      </c>
      <c r="S197" s="44">
        <v>34109.301599999846</v>
      </c>
      <c r="T197" s="44">
        <v>17742.05679999998</v>
      </c>
      <c r="U197" s="44">
        <v>0</v>
      </c>
      <c r="V197" s="44">
        <v>0</v>
      </c>
      <c r="W197" s="44">
        <v>0</v>
      </c>
      <c r="X197" s="44">
        <v>0</v>
      </c>
      <c r="Y197" s="44">
        <v>0</v>
      </c>
      <c r="Z197" s="44">
        <v>0</v>
      </c>
      <c r="AA197" s="44">
        <v>50703.294513628018</v>
      </c>
      <c r="AB197" s="44">
        <v>0</v>
      </c>
      <c r="AC197" s="44">
        <v>135034.01758013069</v>
      </c>
      <c r="AD197" s="44">
        <v>0</v>
      </c>
      <c r="AE197" s="44">
        <v>0</v>
      </c>
      <c r="AF197" s="44">
        <v>0</v>
      </c>
      <c r="AG197" s="44">
        <v>138243.54</v>
      </c>
      <c r="AH197" s="44">
        <v>0</v>
      </c>
      <c r="AI197" s="44">
        <v>0</v>
      </c>
      <c r="AJ197" s="44">
        <v>0</v>
      </c>
      <c r="AK197" s="44">
        <v>14203.916300000001</v>
      </c>
      <c r="AL197" s="44">
        <v>0</v>
      </c>
      <c r="AM197" s="44">
        <v>0</v>
      </c>
      <c r="AN197" s="44">
        <v>0</v>
      </c>
      <c r="AO197" s="44">
        <v>0</v>
      </c>
      <c r="AP197" s="44">
        <v>0</v>
      </c>
      <c r="AQ197" s="44">
        <v>0</v>
      </c>
      <c r="AR197" s="44">
        <v>0</v>
      </c>
      <c r="AS197" s="44">
        <v>0</v>
      </c>
      <c r="AT197" s="44">
        <v>2276958.1562000001</v>
      </c>
      <c r="AU197" s="44">
        <v>566639.5849937587</v>
      </c>
      <c r="AV197" s="44">
        <v>152447.45630000002</v>
      </c>
      <c r="AW197" s="44">
        <v>439333.06184013071</v>
      </c>
      <c r="AX197" s="62">
        <v>2996045.197493759</v>
      </c>
      <c r="AY197" s="62">
        <v>2981841.2811937588</v>
      </c>
      <c r="AZ197" s="62">
        <v>4610</v>
      </c>
      <c r="BA197" s="62">
        <v>2936570</v>
      </c>
      <c r="BB197" s="62">
        <v>0</v>
      </c>
      <c r="BC197" s="62">
        <v>0</v>
      </c>
      <c r="BD197" s="62">
        <v>2996045.197493759</v>
      </c>
      <c r="BE197" s="44">
        <v>2996045.1974937594</v>
      </c>
      <c r="BF197" s="44">
        <v>0</v>
      </c>
      <c r="BG197" s="62">
        <v>2950773.9163000002</v>
      </c>
      <c r="BH197" s="62">
        <v>2798326.46</v>
      </c>
      <c r="BI197" s="44">
        <v>2843597.7411937588</v>
      </c>
      <c r="BJ197" s="44">
        <v>4464.0466894721485</v>
      </c>
      <c r="BK197" s="44">
        <v>4383.723492686805</v>
      </c>
      <c r="BL197" s="45">
        <v>1.8323052747132331E-2</v>
      </c>
      <c r="BM197" s="45">
        <v>0</v>
      </c>
      <c r="BN197" s="44">
        <v>0</v>
      </c>
      <c r="BO197" s="62">
        <v>2996045.197493759</v>
      </c>
      <c r="BP197" s="62">
        <v>4681.0695152178314</v>
      </c>
      <c r="BQ197" s="62" t="s">
        <v>92</v>
      </c>
      <c r="BR197" s="62">
        <v>4703.3676569760737</v>
      </c>
      <c r="BS197" s="53">
        <v>1.8777646069601639E-2</v>
      </c>
      <c r="BT197" s="44">
        <v>0</v>
      </c>
      <c r="BU197" s="44">
        <v>2996045.197493759</v>
      </c>
      <c r="BV197" s="44">
        <v>0</v>
      </c>
      <c r="BW197" s="44">
        <v>2996045.197493759</v>
      </c>
      <c r="BX197" s="44">
        <v>14203.916300000001</v>
      </c>
      <c r="BY197" s="44">
        <v>2981841.2811937588</v>
      </c>
    </row>
    <row r="198" spans="1:77">
      <c r="A198">
        <v>0</v>
      </c>
      <c r="B198" s="60">
        <v>143090</v>
      </c>
      <c r="C198" s="60">
        <v>3302086</v>
      </c>
      <c r="D198" s="61" t="s">
        <v>905</v>
      </c>
      <c r="E198" s="52">
        <v>778</v>
      </c>
      <c r="F198" s="52">
        <v>778</v>
      </c>
      <c r="G198" s="52">
        <v>0</v>
      </c>
      <c r="H198" s="44">
        <v>2780963.0227999999</v>
      </c>
      <c r="I198" s="44">
        <v>0</v>
      </c>
      <c r="J198" s="44">
        <v>0</v>
      </c>
      <c r="K198" s="44">
        <v>154400.04859999998</v>
      </c>
      <c r="L198" s="44">
        <v>0</v>
      </c>
      <c r="M198" s="44">
        <v>259206.63300000009</v>
      </c>
      <c r="N198" s="44">
        <v>0</v>
      </c>
      <c r="O198" s="44">
        <v>4958.6944432432383</v>
      </c>
      <c r="P198" s="44">
        <v>72451.200836808319</v>
      </c>
      <c r="Q198" s="44">
        <v>69753.313615444087</v>
      </c>
      <c r="R198" s="44">
        <v>103801.01022162159</v>
      </c>
      <c r="S198" s="44">
        <v>42432.764027799407</v>
      </c>
      <c r="T198" s="44">
        <v>6149.3852942085032</v>
      </c>
      <c r="U198" s="44">
        <v>0</v>
      </c>
      <c r="V198" s="44">
        <v>0</v>
      </c>
      <c r="W198" s="44">
        <v>0</v>
      </c>
      <c r="X198" s="44">
        <v>0</v>
      </c>
      <c r="Y198" s="44">
        <v>0</v>
      </c>
      <c r="Z198" s="44">
        <v>0</v>
      </c>
      <c r="AA198" s="44">
        <v>114992.57083902431</v>
      </c>
      <c r="AB198" s="44">
        <v>0</v>
      </c>
      <c r="AC198" s="44">
        <v>437149.05609712988</v>
      </c>
      <c r="AD198" s="44">
        <v>0</v>
      </c>
      <c r="AE198" s="44">
        <v>14022.932203354816</v>
      </c>
      <c r="AF198" s="44">
        <v>0</v>
      </c>
      <c r="AG198" s="44">
        <v>138243.54</v>
      </c>
      <c r="AH198" s="44">
        <v>0</v>
      </c>
      <c r="AI198" s="44">
        <v>0</v>
      </c>
      <c r="AJ198" s="44">
        <v>0</v>
      </c>
      <c r="AK198" s="44">
        <v>5458.9691000000003</v>
      </c>
      <c r="AL198" s="44">
        <v>0</v>
      </c>
      <c r="AM198" s="44">
        <v>0</v>
      </c>
      <c r="AN198" s="44">
        <v>0</v>
      </c>
      <c r="AO198" s="44">
        <v>0</v>
      </c>
      <c r="AP198" s="44">
        <v>0</v>
      </c>
      <c r="AQ198" s="44">
        <v>0</v>
      </c>
      <c r="AR198" s="44">
        <v>0</v>
      </c>
      <c r="AS198" s="44">
        <v>0</v>
      </c>
      <c r="AT198" s="44">
        <v>2780963.0227999999</v>
      </c>
      <c r="AU198" s="44">
        <v>1279317.6091786341</v>
      </c>
      <c r="AV198" s="44">
        <v>143702.5091</v>
      </c>
      <c r="AW198" s="44">
        <v>932773.73225669248</v>
      </c>
      <c r="AX198" s="62">
        <v>4203983.1410786342</v>
      </c>
      <c r="AY198" s="62">
        <v>4198524.1719786339</v>
      </c>
      <c r="AZ198" s="62">
        <v>4610</v>
      </c>
      <c r="BA198" s="62">
        <v>3586580</v>
      </c>
      <c r="BB198" s="62">
        <v>0</v>
      </c>
      <c r="BC198" s="62">
        <v>0</v>
      </c>
      <c r="BD198" s="62">
        <v>4203983.1410786342</v>
      </c>
      <c r="BE198" s="44">
        <v>4203983.1410786333</v>
      </c>
      <c r="BF198" s="44">
        <v>0</v>
      </c>
      <c r="BG198" s="62">
        <v>3592038.9690999999</v>
      </c>
      <c r="BH198" s="62">
        <v>3448336.46</v>
      </c>
      <c r="BI198" s="44">
        <v>4060280.6319786343</v>
      </c>
      <c r="BJ198" s="44">
        <v>5218.8697069134114</v>
      </c>
      <c r="BK198" s="44">
        <v>5000.5122196495622</v>
      </c>
      <c r="BL198" s="45">
        <v>4.3667024031220497E-2</v>
      </c>
      <c r="BM198" s="45">
        <v>0</v>
      </c>
      <c r="BN198" s="44">
        <v>0</v>
      </c>
      <c r="BO198" s="62">
        <v>4203983.1410786342</v>
      </c>
      <c r="BP198" s="62">
        <v>5396.5606323632828</v>
      </c>
      <c r="BQ198" s="62" t="s">
        <v>92</v>
      </c>
      <c r="BR198" s="62">
        <v>5403.5773021576279</v>
      </c>
      <c r="BS198" s="53">
        <v>4.0992787693656663E-2</v>
      </c>
      <c r="BT198" s="44">
        <v>0</v>
      </c>
      <c r="BU198" s="44">
        <v>4203983.1410786342</v>
      </c>
      <c r="BV198" s="44">
        <v>0</v>
      </c>
      <c r="BW198" s="44">
        <v>4203983.1410786342</v>
      </c>
      <c r="BX198" s="44">
        <v>5458.9691000000003</v>
      </c>
      <c r="BY198" s="44">
        <v>4198524.1719786339</v>
      </c>
    </row>
    <row r="199" spans="1:77">
      <c r="A199">
        <v>0</v>
      </c>
      <c r="B199" s="60">
        <v>139003</v>
      </c>
      <c r="C199" s="60">
        <v>3302096</v>
      </c>
      <c r="D199" s="61" t="s">
        <v>906</v>
      </c>
      <c r="E199" s="52">
        <v>537</v>
      </c>
      <c r="F199" s="52">
        <v>537</v>
      </c>
      <c r="G199" s="52">
        <v>0</v>
      </c>
      <c r="H199" s="44">
        <v>1919507.8961999998</v>
      </c>
      <c r="I199" s="44">
        <v>0</v>
      </c>
      <c r="J199" s="44">
        <v>0</v>
      </c>
      <c r="K199" s="44">
        <v>175544.0043</v>
      </c>
      <c r="L199" s="44">
        <v>0</v>
      </c>
      <c r="M199" s="44">
        <v>294590.39560000016</v>
      </c>
      <c r="N199" s="44">
        <v>0</v>
      </c>
      <c r="O199" s="44">
        <v>6391.0724770093502</v>
      </c>
      <c r="P199" s="44">
        <v>4306.0419000000011</v>
      </c>
      <c r="Q199" s="44">
        <v>8068.1632250467246</v>
      </c>
      <c r="R199" s="44">
        <v>20029.391661869162</v>
      </c>
      <c r="S199" s="44">
        <v>179483.89849570097</v>
      </c>
      <c r="T199" s="44">
        <v>52740.208959252413</v>
      </c>
      <c r="U199" s="44">
        <v>0</v>
      </c>
      <c r="V199" s="44">
        <v>0</v>
      </c>
      <c r="W199" s="44">
        <v>0</v>
      </c>
      <c r="X199" s="44">
        <v>0</v>
      </c>
      <c r="Y199" s="44">
        <v>0</v>
      </c>
      <c r="Z199" s="44">
        <v>0</v>
      </c>
      <c r="AA199" s="44">
        <v>72595.653100211566</v>
      </c>
      <c r="AB199" s="44">
        <v>0</v>
      </c>
      <c r="AC199" s="44">
        <v>157369.08008316017</v>
      </c>
      <c r="AD199" s="44">
        <v>0</v>
      </c>
      <c r="AE199" s="44">
        <v>0</v>
      </c>
      <c r="AF199" s="44">
        <v>0</v>
      </c>
      <c r="AG199" s="44">
        <v>138243.54</v>
      </c>
      <c r="AH199" s="44">
        <v>0</v>
      </c>
      <c r="AI199" s="44">
        <v>0</v>
      </c>
      <c r="AJ199" s="44">
        <v>0</v>
      </c>
      <c r="AK199" s="44">
        <v>3736.4794999999999</v>
      </c>
      <c r="AL199" s="44">
        <v>0</v>
      </c>
      <c r="AM199" s="44">
        <v>0</v>
      </c>
      <c r="AN199" s="44">
        <v>0</v>
      </c>
      <c r="AO199" s="44">
        <v>0</v>
      </c>
      <c r="AP199" s="44">
        <v>0</v>
      </c>
      <c r="AQ199" s="44">
        <v>0</v>
      </c>
      <c r="AR199" s="44">
        <v>0</v>
      </c>
      <c r="AS199" s="44">
        <v>0</v>
      </c>
      <c r="AT199" s="44">
        <v>1919507.8961999998</v>
      </c>
      <c r="AU199" s="44">
        <v>971117.90980225056</v>
      </c>
      <c r="AV199" s="44">
        <v>141980.01949999999</v>
      </c>
      <c r="AW199" s="44">
        <v>623921.06320259953</v>
      </c>
      <c r="AX199" s="62">
        <v>3032605.8255022503</v>
      </c>
      <c r="AY199" s="62">
        <v>3028869.3460022504</v>
      </c>
      <c r="AZ199" s="62">
        <v>4610</v>
      </c>
      <c r="BA199" s="62">
        <v>2475570</v>
      </c>
      <c r="BB199" s="62">
        <v>0</v>
      </c>
      <c r="BC199" s="62">
        <v>0</v>
      </c>
      <c r="BD199" s="62">
        <v>3032605.8255022503</v>
      </c>
      <c r="BE199" s="44">
        <v>3032605.8255022508</v>
      </c>
      <c r="BF199" s="44">
        <v>0</v>
      </c>
      <c r="BG199" s="62">
        <v>2479306.4794999999</v>
      </c>
      <c r="BH199" s="62">
        <v>2337326.46</v>
      </c>
      <c r="BI199" s="44">
        <v>2890625.8060022504</v>
      </c>
      <c r="BJ199" s="44">
        <v>5382.9158398552145</v>
      </c>
      <c r="BK199" s="44">
        <v>5442.2651056862742</v>
      </c>
      <c r="BL199" s="45">
        <v>-1.0905250787773912E-2</v>
      </c>
      <c r="BM199" s="45">
        <v>1.5905250787773911E-2</v>
      </c>
      <c r="BN199" s="44">
        <v>46483.037560046716</v>
      </c>
      <c r="BO199" s="62">
        <v>3079088.863062297</v>
      </c>
      <c r="BP199" s="62">
        <v>5726.9131909912421</v>
      </c>
      <c r="BQ199" s="62" t="s">
        <v>92</v>
      </c>
      <c r="BR199" s="62">
        <v>5733.8712533748549</v>
      </c>
      <c r="BS199" s="53">
        <v>1.7730216852658298E-3</v>
      </c>
      <c r="BT199" s="44">
        <v>0</v>
      </c>
      <c r="BU199" s="44">
        <v>3079088.863062297</v>
      </c>
      <c r="BV199" s="44">
        <v>0</v>
      </c>
      <c r="BW199" s="44">
        <v>3079088.863062297</v>
      </c>
      <c r="BX199" s="44">
        <v>3736.4794999999999</v>
      </c>
      <c r="BY199" s="44">
        <v>3075352.3835622971</v>
      </c>
    </row>
    <row r="200" spans="1:77">
      <c r="A200">
        <v>0</v>
      </c>
      <c r="B200" s="60">
        <v>139011</v>
      </c>
      <c r="C200" s="60">
        <v>3302098</v>
      </c>
      <c r="D200" s="61" t="s">
        <v>907</v>
      </c>
      <c r="E200" s="52">
        <v>201</v>
      </c>
      <c r="F200" s="52">
        <v>201</v>
      </c>
      <c r="G200" s="52">
        <v>0</v>
      </c>
      <c r="H200" s="44">
        <v>718475.02259999991</v>
      </c>
      <c r="I200" s="44">
        <v>0</v>
      </c>
      <c r="J200" s="44">
        <v>0</v>
      </c>
      <c r="K200" s="44">
        <v>64907.026800000029</v>
      </c>
      <c r="L200" s="44">
        <v>0</v>
      </c>
      <c r="M200" s="44">
        <v>109442.80059999996</v>
      </c>
      <c r="N200" s="44">
        <v>0</v>
      </c>
      <c r="O200" s="44">
        <v>1414.9487999999992</v>
      </c>
      <c r="P200" s="44">
        <v>18018.018900000025</v>
      </c>
      <c r="Q200" s="44">
        <v>893.1238000000003</v>
      </c>
      <c r="R200" s="44">
        <v>2433.5115000000033</v>
      </c>
      <c r="S200" s="44">
        <v>18605.073599999971</v>
      </c>
      <c r="T200" s="44">
        <v>45719.915599999949</v>
      </c>
      <c r="U200" s="44">
        <v>0</v>
      </c>
      <c r="V200" s="44">
        <v>0</v>
      </c>
      <c r="W200" s="44">
        <v>0</v>
      </c>
      <c r="X200" s="44">
        <v>0</v>
      </c>
      <c r="Y200" s="44">
        <v>0</v>
      </c>
      <c r="Z200" s="44">
        <v>0</v>
      </c>
      <c r="AA200" s="44">
        <v>20421.190982840275</v>
      </c>
      <c r="AB200" s="44">
        <v>0</v>
      </c>
      <c r="AC200" s="44">
        <v>76983.429630384795</v>
      </c>
      <c r="AD200" s="44">
        <v>0</v>
      </c>
      <c r="AE200" s="44">
        <v>5722.4154239999907</v>
      </c>
      <c r="AF200" s="44">
        <v>0</v>
      </c>
      <c r="AG200" s="44">
        <v>138243.54</v>
      </c>
      <c r="AH200" s="44">
        <v>0</v>
      </c>
      <c r="AI200" s="44">
        <v>0</v>
      </c>
      <c r="AJ200" s="44">
        <v>0</v>
      </c>
      <c r="AK200" s="44">
        <v>3126.9769999999999</v>
      </c>
      <c r="AL200" s="44">
        <v>0</v>
      </c>
      <c r="AM200" s="44">
        <v>0</v>
      </c>
      <c r="AN200" s="44">
        <v>0</v>
      </c>
      <c r="AO200" s="44">
        <v>0</v>
      </c>
      <c r="AP200" s="44">
        <v>0</v>
      </c>
      <c r="AQ200" s="44">
        <v>0</v>
      </c>
      <c r="AR200" s="44">
        <v>0</v>
      </c>
      <c r="AS200" s="44">
        <v>0</v>
      </c>
      <c r="AT200" s="44">
        <v>718475.02259999991</v>
      </c>
      <c r="AU200" s="44">
        <v>364561.45563722501</v>
      </c>
      <c r="AV200" s="44">
        <v>141370.51700000002</v>
      </c>
      <c r="AW200" s="44">
        <v>243624.39056038478</v>
      </c>
      <c r="AX200" s="62">
        <v>1224406.995237225</v>
      </c>
      <c r="AY200" s="62">
        <v>1221280.018237225</v>
      </c>
      <c r="AZ200" s="62">
        <v>4610</v>
      </c>
      <c r="BA200" s="62">
        <v>926610</v>
      </c>
      <c r="BB200" s="62">
        <v>0</v>
      </c>
      <c r="BC200" s="62">
        <v>0</v>
      </c>
      <c r="BD200" s="62">
        <v>1224406.995237225</v>
      </c>
      <c r="BE200" s="44">
        <v>1224406.995237225</v>
      </c>
      <c r="BF200" s="44">
        <v>0</v>
      </c>
      <c r="BG200" s="62">
        <v>929736.97699999996</v>
      </c>
      <c r="BH200" s="62">
        <v>788366.46</v>
      </c>
      <c r="BI200" s="44">
        <v>1083036.478237225</v>
      </c>
      <c r="BJ200" s="44">
        <v>5388.2411852598261</v>
      </c>
      <c r="BK200" s="44">
        <v>5343.4396582914578</v>
      </c>
      <c r="BL200" s="45">
        <v>8.3843984087757818E-3</v>
      </c>
      <c r="BM200" s="45">
        <v>0</v>
      </c>
      <c r="BN200" s="44">
        <v>0</v>
      </c>
      <c r="BO200" s="62">
        <v>1224406.995237225</v>
      </c>
      <c r="BP200" s="62">
        <v>6076.0199912299749</v>
      </c>
      <c r="BQ200" s="62" t="s">
        <v>92</v>
      </c>
      <c r="BR200" s="62">
        <v>6091.5770907324622</v>
      </c>
      <c r="BS200" s="53">
        <v>5.8148588343376328E-3</v>
      </c>
      <c r="BT200" s="44">
        <v>0</v>
      </c>
      <c r="BU200" s="44">
        <v>1224406.995237225</v>
      </c>
      <c r="BV200" s="44">
        <v>0</v>
      </c>
      <c r="BW200" s="44">
        <v>1224406.995237225</v>
      </c>
      <c r="BX200" s="44">
        <v>3126.9769999999999</v>
      </c>
      <c r="BY200" s="44">
        <v>1221280.018237225</v>
      </c>
    </row>
    <row r="201" spans="1:77">
      <c r="A201">
        <v>0</v>
      </c>
      <c r="B201" s="60">
        <v>139014</v>
      </c>
      <c r="C201" s="60">
        <v>3302100</v>
      </c>
      <c r="D201" s="61" t="s">
        <v>908</v>
      </c>
      <c r="E201" s="52">
        <v>201</v>
      </c>
      <c r="F201" s="52">
        <v>201</v>
      </c>
      <c r="G201" s="52">
        <v>0</v>
      </c>
      <c r="H201" s="44">
        <v>718475.02259999991</v>
      </c>
      <c r="I201" s="44">
        <v>0</v>
      </c>
      <c r="J201" s="44">
        <v>0</v>
      </c>
      <c r="K201" s="44">
        <v>64415.306899999974</v>
      </c>
      <c r="L201" s="44">
        <v>0</v>
      </c>
      <c r="M201" s="44">
        <v>109442.80059999996</v>
      </c>
      <c r="N201" s="44">
        <v>0</v>
      </c>
      <c r="O201" s="44">
        <v>943.29919999999947</v>
      </c>
      <c r="P201" s="44">
        <v>0</v>
      </c>
      <c r="Q201" s="44">
        <v>3572.495199999998</v>
      </c>
      <c r="R201" s="44">
        <v>14601.069000000041</v>
      </c>
      <c r="S201" s="44">
        <v>74937.102000000043</v>
      </c>
      <c r="T201" s="44">
        <v>8871.0284000000011</v>
      </c>
      <c r="U201" s="44">
        <v>0</v>
      </c>
      <c r="V201" s="44">
        <v>0</v>
      </c>
      <c r="W201" s="44">
        <v>0</v>
      </c>
      <c r="X201" s="44">
        <v>0</v>
      </c>
      <c r="Y201" s="44">
        <v>0</v>
      </c>
      <c r="Z201" s="44">
        <v>0</v>
      </c>
      <c r="AA201" s="44">
        <v>20878.28963157894</v>
      </c>
      <c r="AB201" s="44">
        <v>0</v>
      </c>
      <c r="AC201" s="44">
        <v>93883.279523563615</v>
      </c>
      <c r="AD201" s="44">
        <v>0</v>
      </c>
      <c r="AE201" s="44">
        <v>0</v>
      </c>
      <c r="AF201" s="44">
        <v>0</v>
      </c>
      <c r="AG201" s="44">
        <v>138243.54</v>
      </c>
      <c r="AH201" s="44">
        <v>0</v>
      </c>
      <c r="AI201" s="44">
        <v>0</v>
      </c>
      <c r="AJ201" s="44">
        <v>0</v>
      </c>
      <c r="AK201" s="44">
        <v>3868.9787000000001</v>
      </c>
      <c r="AL201" s="44">
        <v>0</v>
      </c>
      <c r="AM201" s="44">
        <v>0</v>
      </c>
      <c r="AN201" s="44">
        <v>0</v>
      </c>
      <c r="AO201" s="44">
        <v>0</v>
      </c>
      <c r="AP201" s="44">
        <v>0</v>
      </c>
      <c r="AQ201" s="44">
        <v>0</v>
      </c>
      <c r="AR201" s="44">
        <v>0</v>
      </c>
      <c r="AS201" s="44">
        <v>0</v>
      </c>
      <c r="AT201" s="44">
        <v>718475.02259999991</v>
      </c>
      <c r="AU201" s="44">
        <v>391544.67045514262</v>
      </c>
      <c r="AV201" s="44">
        <v>142112.51870000002</v>
      </c>
      <c r="AW201" s="44">
        <v>268198.58130356361</v>
      </c>
      <c r="AX201" s="62">
        <v>1252132.2117551425</v>
      </c>
      <c r="AY201" s="62">
        <v>1248263.2330551425</v>
      </c>
      <c r="AZ201" s="62">
        <v>4610</v>
      </c>
      <c r="BA201" s="62">
        <v>926610</v>
      </c>
      <c r="BB201" s="62">
        <v>0</v>
      </c>
      <c r="BC201" s="62">
        <v>0</v>
      </c>
      <c r="BD201" s="62">
        <v>1252132.2117551425</v>
      </c>
      <c r="BE201" s="44">
        <v>1252132.2117551425</v>
      </c>
      <c r="BF201" s="44">
        <v>0</v>
      </c>
      <c r="BG201" s="62">
        <v>930478.97869999998</v>
      </c>
      <c r="BH201" s="62">
        <v>788366.46</v>
      </c>
      <c r="BI201" s="44">
        <v>1110019.6930551424</v>
      </c>
      <c r="BJ201" s="44">
        <v>5522.4860351002108</v>
      </c>
      <c r="BK201" s="44">
        <v>5395.8575554973831</v>
      </c>
      <c r="BL201" s="45">
        <v>2.3467720987893122E-2</v>
      </c>
      <c r="BM201" s="45">
        <v>0</v>
      </c>
      <c r="BN201" s="44">
        <v>0</v>
      </c>
      <c r="BO201" s="62">
        <v>1252132.2117551425</v>
      </c>
      <c r="BP201" s="62">
        <v>6210.2648410703605</v>
      </c>
      <c r="BQ201" s="62" t="s">
        <v>92</v>
      </c>
      <c r="BR201" s="62">
        <v>6229.5134913191168</v>
      </c>
      <c r="BS201" s="53">
        <v>1.5316173705807401E-2</v>
      </c>
      <c r="BT201" s="44">
        <v>0</v>
      </c>
      <c r="BU201" s="44">
        <v>1252132.2117551425</v>
      </c>
      <c r="BV201" s="44">
        <v>0</v>
      </c>
      <c r="BW201" s="44">
        <v>1252132.2117551425</v>
      </c>
      <c r="BX201" s="44">
        <v>3868.9787000000001</v>
      </c>
      <c r="BY201" s="44">
        <v>1248263.2330551425</v>
      </c>
    </row>
    <row r="202" spans="1:77">
      <c r="A202">
        <v>0</v>
      </c>
      <c r="B202" s="60">
        <v>139120</v>
      </c>
      <c r="C202" s="60">
        <v>3302102</v>
      </c>
      <c r="D202" s="61" t="s">
        <v>909</v>
      </c>
      <c r="E202" s="52">
        <v>218</v>
      </c>
      <c r="F202" s="52">
        <v>218</v>
      </c>
      <c r="G202" s="52">
        <v>0</v>
      </c>
      <c r="H202" s="44">
        <v>779241.56679999991</v>
      </c>
      <c r="I202" s="44">
        <v>0</v>
      </c>
      <c r="J202" s="44">
        <v>0</v>
      </c>
      <c r="K202" s="44">
        <v>45729.950700000009</v>
      </c>
      <c r="L202" s="44">
        <v>0</v>
      </c>
      <c r="M202" s="44">
        <v>78173.428999999916</v>
      </c>
      <c r="N202" s="44">
        <v>0</v>
      </c>
      <c r="O202" s="44">
        <v>1179.1240000000021</v>
      </c>
      <c r="P202" s="44">
        <v>858.00090000000262</v>
      </c>
      <c r="Q202" s="44">
        <v>8038.1141999999963</v>
      </c>
      <c r="R202" s="44">
        <v>2920.2137999999986</v>
      </c>
      <c r="S202" s="44">
        <v>79071.562799999985</v>
      </c>
      <c r="T202" s="44">
        <v>17059.670000000027</v>
      </c>
      <c r="U202" s="44">
        <v>0</v>
      </c>
      <c r="V202" s="44">
        <v>0</v>
      </c>
      <c r="W202" s="44">
        <v>0</v>
      </c>
      <c r="X202" s="44">
        <v>0</v>
      </c>
      <c r="Y202" s="44">
        <v>0</v>
      </c>
      <c r="Z202" s="44">
        <v>0</v>
      </c>
      <c r="AA202" s="44">
        <v>41884.114925827809</v>
      </c>
      <c r="AB202" s="44">
        <v>0</v>
      </c>
      <c r="AC202" s="44">
        <v>75175.670945454563</v>
      </c>
      <c r="AD202" s="44">
        <v>0</v>
      </c>
      <c r="AE202" s="44">
        <v>0</v>
      </c>
      <c r="AF202" s="44">
        <v>0</v>
      </c>
      <c r="AG202" s="44">
        <v>138243.54</v>
      </c>
      <c r="AH202" s="44">
        <v>0</v>
      </c>
      <c r="AI202" s="44">
        <v>0</v>
      </c>
      <c r="AJ202" s="44">
        <v>0</v>
      </c>
      <c r="AK202" s="44">
        <v>6836.9546</v>
      </c>
      <c r="AL202" s="44">
        <v>0</v>
      </c>
      <c r="AM202" s="44">
        <v>0</v>
      </c>
      <c r="AN202" s="44">
        <v>0</v>
      </c>
      <c r="AO202" s="44">
        <v>0</v>
      </c>
      <c r="AP202" s="44">
        <v>0</v>
      </c>
      <c r="AQ202" s="44">
        <v>0</v>
      </c>
      <c r="AR202" s="44">
        <v>0</v>
      </c>
      <c r="AS202" s="44">
        <v>0</v>
      </c>
      <c r="AT202" s="44">
        <v>779241.56679999991</v>
      </c>
      <c r="AU202" s="44">
        <v>350089.85127128236</v>
      </c>
      <c r="AV202" s="44">
        <v>145080.49460000001</v>
      </c>
      <c r="AW202" s="44">
        <v>230652.78198545455</v>
      </c>
      <c r="AX202" s="62">
        <v>1274411.9126712824</v>
      </c>
      <c r="AY202" s="62">
        <v>1267574.9580712824</v>
      </c>
      <c r="AZ202" s="62">
        <v>4610</v>
      </c>
      <c r="BA202" s="62">
        <v>1004980</v>
      </c>
      <c r="BB202" s="62">
        <v>0</v>
      </c>
      <c r="BC202" s="62">
        <v>0</v>
      </c>
      <c r="BD202" s="62">
        <v>1274411.9126712824</v>
      </c>
      <c r="BE202" s="44">
        <v>1274411.9126712822</v>
      </c>
      <c r="BF202" s="44">
        <v>0</v>
      </c>
      <c r="BG202" s="62">
        <v>1011816.9546000001</v>
      </c>
      <c r="BH202" s="62">
        <v>866736.46</v>
      </c>
      <c r="BI202" s="44">
        <v>1129331.4180712823</v>
      </c>
      <c r="BJ202" s="44">
        <v>5180.4193489508361</v>
      </c>
      <c r="BK202" s="44">
        <v>5231.5214495934961</v>
      </c>
      <c r="BL202" s="45">
        <v>-9.7681145217574736E-3</v>
      </c>
      <c r="BM202" s="45">
        <v>1.4768114521757473E-2</v>
      </c>
      <c r="BN202" s="44">
        <v>16842.616320156776</v>
      </c>
      <c r="BO202" s="62">
        <v>1291254.5289914391</v>
      </c>
      <c r="BP202" s="62">
        <v>5891.823735740546</v>
      </c>
      <c r="BQ202" s="62" t="s">
        <v>92</v>
      </c>
      <c r="BR202" s="62">
        <v>5923.1859128047663</v>
      </c>
      <c r="BS202" s="53">
        <v>1.9699462578928184E-2</v>
      </c>
      <c r="BT202" s="44">
        <v>0</v>
      </c>
      <c r="BU202" s="44">
        <v>1291254.5289914391</v>
      </c>
      <c r="BV202" s="44">
        <v>0</v>
      </c>
      <c r="BW202" s="44">
        <v>1291254.5289914391</v>
      </c>
      <c r="BX202" s="44">
        <v>6836.9546</v>
      </c>
      <c r="BY202" s="44">
        <v>1284417.5743914391</v>
      </c>
    </row>
    <row r="203" spans="1:77">
      <c r="A203">
        <v>0</v>
      </c>
      <c r="B203" s="60">
        <v>139125</v>
      </c>
      <c r="C203" s="60">
        <v>3302103</v>
      </c>
      <c r="D203" s="61" t="s">
        <v>910</v>
      </c>
      <c r="E203" s="52">
        <v>415</v>
      </c>
      <c r="F203" s="52">
        <v>415</v>
      </c>
      <c r="G203" s="52">
        <v>0</v>
      </c>
      <c r="H203" s="44">
        <v>1483418.5789999999</v>
      </c>
      <c r="I203" s="44">
        <v>0</v>
      </c>
      <c r="J203" s="44">
        <v>0</v>
      </c>
      <c r="K203" s="44">
        <v>103752.89889999999</v>
      </c>
      <c r="L203" s="44">
        <v>0</v>
      </c>
      <c r="M203" s="44">
        <v>174450.17840000003</v>
      </c>
      <c r="N203" s="44">
        <v>0</v>
      </c>
      <c r="O203" s="44">
        <v>5659.7951999999987</v>
      </c>
      <c r="P203" s="44">
        <v>19448.020399999998</v>
      </c>
      <c r="Q203" s="44">
        <v>33045.580599999965</v>
      </c>
      <c r="R203" s="44">
        <v>46236.718499999915</v>
      </c>
      <c r="S203" s="44">
        <v>36693.339600000087</v>
      </c>
      <c r="T203" s="44">
        <v>28660.245599999878</v>
      </c>
      <c r="U203" s="44">
        <v>0</v>
      </c>
      <c r="V203" s="44">
        <v>0</v>
      </c>
      <c r="W203" s="44">
        <v>0</v>
      </c>
      <c r="X203" s="44">
        <v>0</v>
      </c>
      <c r="Y203" s="44">
        <v>0</v>
      </c>
      <c r="Z203" s="44">
        <v>0</v>
      </c>
      <c r="AA203" s="44">
        <v>19110.732938888901</v>
      </c>
      <c r="AB203" s="44">
        <v>0</v>
      </c>
      <c r="AC203" s="44">
        <v>179394.49284802107</v>
      </c>
      <c r="AD203" s="44">
        <v>0</v>
      </c>
      <c r="AE203" s="44">
        <v>96.3369600000063</v>
      </c>
      <c r="AF203" s="44">
        <v>0</v>
      </c>
      <c r="AG203" s="44">
        <v>138243.54</v>
      </c>
      <c r="AH203" s="44">
        <v>0</v>
      </c>
      <c r="AI203" s="44">
        <v>0</v>
      </c>
      <c r="AJ203" s="44">
        <v>0</v>
      </c>
      <c r="AK203" s="44">
        <v>2888.4805000000001</v>
      </c>
      <c r="AL203" s="44">
        <v>0</v>
      </c>
      <c r="AM203" s="44">
        <v>0</v>
      </c>
      <c r="AN203" s="44">
        <v>0</v>
      </c>
      <c r="AO203" s="44">
        <v>0</v>
      </c>
      <c r="AP203" s="44">
        <v>0</v>
      </c>
      <c r="AQ203" s="44">
        <v>0</v>
      </c>
      <c r="AR203" s="44">
        <v>0</v>
      </c>
      <c r="AS203" s="44">
        <v>0</v>
      </c>
      <c r="AT203" s="44">
        <v>1483418.5789999999</v>
      </c>
      <c r="AU203" s="44">
        <v>646548.33994690969</v>
      </c>
      <c r="AV203" s="44">
        <v>141132.02050000001</v>
      </c>
      <c r="AW203" s="44">
        <v>477538.81039802101</v>
      </c>
      <c r="AX203" s="62">
        <v>2271098.9394469098</v>
      </c>
      <c r="AY203" s="62">
        <v>2268210.4589469098</v>
      </c>
      <c r="AZ203" s="62">
        <v>4610</v>
      </c>
      <c r="BA203" s="62">
        <v>1913150</v>
      </c>
      <c r="BB203" s="62">
        <v>0</v>
      </c>
      <c r="BC203" s="62">
        <v>0</v>
      </c>
      <c r="BD203" s="62">
        <v>2271098.9394469098</v>
      </c>
      <c r="BE203" s="44">
        <v>2271098.9394469098</v>
      </c>
      <c r="BF203" s="44">
        <v>0</v>
      </c>
      <c r="BG203" s="62">
        <v>1916038.4805000001</v>
      </c>
      <c r="BH203" s="62">
        <v>1774906.46</v>
      </c>
      <c r="BI203" s="44">
        <v>2129966.9189469097</v>
      </c>
      <c r="BJ203" s="44">
        <v>5132.4504071009869</v>
      </c>
      <c r="BK203" s="44">
        <v>4946.6758220379152</v>
      </c>
      <c r="BL203" s="45">
        <v>3.7555439601565994E-2</v>
      </c>
      <c r="BM203" s="45">
        <v>0</v>
      </c>
      <c r="BN203" s="44">
        <v>0</v>
      </c>
      <c r="BO203" s="62">
        <v>2271098.9394469098</v>
      </c>
      <c r="BP203" s="62">
        <v>5465.5673709564089</v>
      </c>
      <c r="BQ203" s="62" t="s">
        <v>92</v>
      </c>
      <c r="BR203" s="62">
        <v>5472.527564932313</v>
      </c>
      <c r="BS203" s="53">
        <v>3.4504934328164039E-2</v>
      </c>
      <c r="BT203" s="44">
        <v>0</v>
      </c>
      <c r="BU203" s="44">
        <v>2271098.9394469098</v>
      </c>
      <c r="BV203" s="44">
        <v>0</v>
      </c>
      <c r="BW203" s="44">
        <v>2271098.9394469098</v>
      </c>
      <c r="BX203" s="44">
        <v>2888.4805000000001</v>
      </c>
      <c r="BY203" s="44">
        <v>2268210.4589469098</v>
      </c>
    </row>
    <row r="204" spans="1:77">
      <c r="A204">
        <v>0</v>
      </c>
      <c r="B204" s="60">
        <v>139126</v>
      </c>
      <c r="C204" s="60">
        <v>3302104</v>
      </c>
      <c r="D204" s="61" t="s">
        <v>911</v>
      </c>
      <c r="E204" s="52">
        <v>302</v>
      </c>
      <c r="F204" s="52">
        <v>302</v>
      </c>
      <c r="G204" s="52">
        <v>0</v>
      </c>
      <c r="H204" s="44">
        <v>1079499.7852</v>
      </c>
      <c r="I204" s="44">
        <v>0</v>
      </c>
      <c r="J204" s="44">
        <v>0</v>
      </c>
      <c r="K204" s="44">
        <v>95393.660600000017</v>
      </c>
      <c r="L204" s="44">
        <v>0</v>
      </c>
      <c r="M204" s="44">
        <v>162929.88360000009</v>
      </c>
      <c r="N204" s="44">
        <v>0</v>
      </c>
      <c r="O204" s="44">
        <v>1183.041355481726</v>
      </c>
      <c r="P204" s="44">
        <v>0</v>
      </c>
      <c r="Q204" s="44">
        <v>4032.4094491694318</v>
      </c>
      <c r="R204" s="44">
        <v>5371.5117627907021</v>
      </c>
      <c r="S204" s="44">
        <v>51333.932308305673</v>
      </c>
      <c r="T204" s="44">
        <v>104752.04146445192</v>
      </c>
      <c r="U204" s="44">
        <v>0</v>
      </c>
      <c r="V204" s="44">
        <v>0</v>
      </c>
      <c r="W204" s="44">
        <v>0</v>
      </c>
      <c r="X204" s="44">
        <v>0</v>
      </c>
      <c r="Y204" s="44">
        <v>0</v>
      </c>
      <c r="Z204" s="44">
        <v>0</v>
      </c>
      <c r="AA204" s="44">
        <v>80624.985684363652</v>
      </c>
      <c r="AB204" s="44">
        <v>0</v>
      </c>
      <c r="AC204" s="44">
        <v>130124.61078898735</v>
      </c>
      <c r="AD204" s="44">
        <v>0</v>
      </c>
      <c r="AE204" s="44">
        <v>30712.222848000067</v>
      </c>
      <c r="AF204" s="44">
        <v>0</v>
      </c>
      <c r="AG204" s="44">
        <v>138243.54</v>
      </c>
      <c r="AH204" s="44">
        <v>0</v>
      </c>
      <c r="AI204" s="44">
        <v>0</v>
      </c>
      <c r="AJ204" s="44">
        <v>0</v>
      </c>
      <c r="AK204" s="44">
        <v>3868.9787000000001</v>
      </c>
      <c r="AL204" s="44">
        <v>0</v>
      </c>
      <c r="AM204" s="44">
        <v>0</v>
      </c>
      <c r="AN204" s="44">
        <v>0</v>
      </c>
      <c r="AO204" s="44">
        <v>0</v>
      </c>
      <c r="AP204" s="44">
        <v>0</v>
      </c>
      <c r="AQ204" s="44">
        <v>0</v>
      </c>
      <c r="AR204" s="44">
        <v>0</v>
      </c>
      <c r="AS204" s="44">
        <v>0</v>
      </c>
      <c r="AT204" s="44">
        <v>1079499.7852</v>
      </c>
      <c r="AU204" s="44">
        <v>666458.29986155068</v>
      </c>
      <c r="AV204" s="44">
        <v>142112.51870000002</v>
      </c>
      <c r="AW204" s="44">
        <v>396597.84031908715</v>
      </c>
      <c r="AX204" s="62">
        <v>1888070.6037615505</v>
      </c>
      <c r="AY204" s="62">
        <v>1884201.6250615504</v>
      </c>
      <c r="AZ204" s="62">
        <v>4610</v>
      </c>
      <c r="BA204" s="62">
        <v>1392220</v>
      </c>
      <c r="BB204" s="62">
        <v>0</v>
      </c>
      <c r="BC204" s="62">
        <v>0</v>
      </c>
      <c r="BD204" s="62">
        <v>1888070.6037615505</v>
      </c>
      <c r="BE204" s="44">
        <v>1888070.6037615505</v>
      </c>
      <c r="BF204" s="44">
        <v>0</v>
      </c>
      <c r="BG204" s="62">
        <v>1396088.9787000001</v>
      </c>
      <c r="BH204" s="62">
        <v>1253976.46</v>
      </c>
      <c r="BI204" s="44">
        <v>1745958.0850615504</v>
      </c>
      <c r="BJ204" s="44">
        <v>5781.3181624554645</v>
      </c>
      <c r="BK204" s="44">
        <v>5724.1707754601221</v>
      </c>
      <c r="BL204" s="45">
        <v>9.9835223715436447E-3</v>
      </c>
      <c r="BM204" s="45">
        <v>0</v>
      </c>
      <c r="BN204" s="44">
        <v>0</v>
      </c>
      <c r="BO204" s="62">
        <v>1888070.6037615505</v>
      </c>
      <c r="BP204" s="62">
        <v>6239.0782286806307</v>
      </c>
      <c r="BQ204" s="62" t="s">
        <v>92</v>
      </c>
      <c r="BR204" s="62">
        <v>6251.889416428975</v>
      </c>
      <c r="BS204" s="53">
        <v>1.543917164518227E-2</v>
      </c>
      <c r="BT204" s="44">
        <v>0</v>
      </c>
      <c r="BU204" s="44">
        <v>1888070.6037615505</v>
      </c>
      <c r="BV204" s="44">
        <v>0</v>
      </c>
      <c r="BW204" s="44">
        <v>1888070.6037615505</v>
      </c>
      <c r="BX204" s="44">
        <v>3868.9787000000001</v>
      </c>
      <c r="BY204" s="44">
        <v>1884201.6250615504</v>
      </c>
    </row>
    <row r="205" spans="1:77">
      <c r="A205">
        <v>0</v>
      </c>
      <c r="B205" s="60">
        <v>139128</v>
      </c>
      <c r="C205" s="60">
        <v>3302105</v>
      </c>
      <c r="D205" s="61" t="s">
        <v>912</v>
      </c>
      <c r="E205" s="52">
        <v>414</v>
      </c>
      <c r="F205" s="52">
        <v>414</v>
      </c>
      <c r="G205" s="52">
        <v>0</v>
      </c>
      <c r="H205" s="44">
        <v>1479844.0763999999</v>
      </c>
      <c r="I205" s="44">
        <v>0</v>
      </c>
      <c r="J205" s="44">
        <v>0</v>
      </c>
      <c r="K205" s="44">
        <v>109653.53769999999</v>
      </c>
      <c r="L205" s="44">
        <v>0</v>
      </c>
      <c r="M205" s="44">
        <v>190907.7424000001</v>
      </c>
      <c r="N205" s="44">
        <v>0</v>
      </c>
      <c r="O205" s="44">
        <v>7782.218399999997</v>
      </c>
      <c r="P205" s="44">
        <v>10296.010799999995</v>
      </c>
      <c r="Q205" s="44">
        <v>19202.161700000015</v>
      </c>
      <c r="R205" s="44">
        <v>9734.0460000000094</v>
      </c>
      <c r="S205" s="44">
        <v>45479.068800000015</v>
      </c>
      <c r="T205" s="44">
        <v>107134.72760000011</v>
      </c>
      <c r="U205" s="44">
        <v>0</v>
      </c>
      <c r="V205" s="44">
        <v>0</v>
      </c>
      <c r="W205" s="44">
        <v>0</v>
      </c>
      <c r="X205" s="44">
        <v>0</v>
      </c>
      <c r="Y205" s="44">
        <v>0</v>
      </c>
      <c r="Z205" s="44">
        <v>0</v>
      </c>
      <c r="AA205" s="44">
        <v>89322.425100000022</v>
      </c>
      <c r="AB205" s="44">
        <v>0</v>
      </c>
      <c r="AC205" s="44">
        <v>234865.54312889231</v>
      </c>
      <c r="AD205" s="44">
        <v>0</v>
      </c>
      <c r="AE205" s="44">
        <v>21457.903196048574</v>
      </c>
      <c r="AF205" s="44">
        <v>0</v>
      </c>
      <c r="AG205" s="44">
        <v>138243.54</v>
      </c>
      <c r="AH205" s="44">
        <v>0</v>
      </c>
      <c r="AI205" s="44">
        <v>0</v>
      </c>
      <c r="AJ205" s="44">
        <v>0</v>
      </c>
      <c r="AK205" s="44">
        <v>4451.9690000000001</v>
      </c>
      <c r="AL205" s="44">
        <v>0</v>
      </c>
      <c r="AM205" s="44">
        <v>0</v>
      </c>
      <c r="AN205" s="44">
        <v>0</v>
      </c>
      <c r="AO205" s="44">
        <v>0</v>
      </c>
      <c r="AP205" s="44">
        <v>0</v>
      </c>
      <c r="AQ205" s="44">
        <v>0</v>
      </c>
      <c r="AR205" s="44">
        <v>0</v>
      </c>
      <c r="AS205" s="44">
        <v>0</v>
      </c>
      <c r="AT205" s="44">
        <v>1479844.0763999999</v>
      </c>
      <c r="AU205" s="44">
        <v>845835.38482494117</v>
      </c>
      <c r="AV205" s="44">
        <v>142695.50900000002</v>
      </c>
      <c r="AW205" s="44">
        <v>558952.50364889251</v>
      </c>
      <c r="AX205" s="62">
        <v>2468374.9702249411</v>
      </c>
      <c r="AY205" s="62">
        <v>2463923.0012249411</v>
      </c>
      <c r="AZ205" s="62">
        <v>4610</v>
      </c>
      <c r="BA205" s="62">
        <v>1908540</v>
      </c>
      <c r="BB205" s="62">
        <v>0</v>
      </c>
      <c r="BC205" s="62">
        <v>0</v>
      </c>
      <c r="BD205" s="62">
        <v>2468374.9702249411</v>
      </c>
      <c r="BE205" s="44">
        <v>2468374.9702249411</v>
      </c>
      <c r="BF205" s="44">
        <v>0</v>
      </c>
      <c r="BG205" s="62">
        <v>1912991.969</v>
      </c>
      <c r="BH205" s="62">
        <v>1770296.46</v>
      </c>
      <c r="BI205" s="44">
        <v>2325679.4612249411</v>
      </c>
      <c r="BJ205" s="44">
        <v>5617.5832396737705</v>
      </c>
      <c r="BK205" s="44">
        <v>5867.630987684729</v>
      </c>
      <c r="BL205" s="45">
        <v>-4.2614770515693796E-2</v>
      </c>
      <c r="BM205" s="45">
        <v>4.7614770515693794E-2</v>
      </c>
      <c r="BN205" s="44">
        <v>115665.76382104419</v>
      </c>
      <c r="BO205" s="62">
        <v>2584040.7340459852</v>
      </c>
      <c r="BP205" s="62">
        <v>6230.8907368260507</v>
      </c>
      <c r="BQ205" s="62" t="s">
        <v>92</v>
      </c>
      <c r="BR205" s="62">
        <v>6241.6442851352294</v>
      </c>
      <c r="BS205" s="53">
        <v>3.9019659329520007E-3</v>
      </c>
      <c r="BT205" s="44">
        <v>0</v>
      </c>
      <c r="BU205" s="44">
        <v>2584040.7340459852</v>
      </c>
      <c r="BV205" s="44">
        <v>0</v>
      </c>
      <c r="BW205" s="44">
        <v>2584040.7340459852</v>
      </c>
      <c r="BX205" s="44">
        <v>4451.9690000000001</v>
      </c>
      <c r="BY205" s="44">
        <v>2579588.7650459851</v>
      </c>
    </row>
    <row r="206" spans="1:77">
      <c r="A206">
        <v>0</v>
      </c>
      <c r="B206" s="60">
        <v>139129</v>
      </c>
      <c r="C206" s="60">
        <v>3302107</v>
      </c>
      <c r="D206" s="61" t="s">
        <v>913</v>
      </c>
      <c r="E206" s="52">
        <v>347</v>
      </c>
      <c r="F206" s="52">
        <v>347</v>
      </c>
      <c r="G206" s="52">
        <v>0</v>
      </c>
      <c r="H206" s="44">
        <v>1240352.4021999999</v>
      </c>
      <c r="I206" s="44">
        <v>0</v>
      </c>
      <c r="J206" s="44">
        <v>0</v>
      </c>
      <c r="K206" s="44">
        <v>95885.380499999941</v>
      </c>
      <c r="L206" s="44">
        <v>0</v>
      </c>
      <c r="M206" s="44">
        <v>167867.15279999987</v>
      </c>
      <c r="N206" s="44">
        <v>0</v>
      </c>
      <c r="O206" s="44">
        <v>2829.8976000000007</v>
      </c>
      <c r="P206" s="44">
        <v>2002.002099999999</v>
      </c>
      <c r="Q206" s="44">
        <v>14736.542699999996</v>
      </c>
      <c r="R206" s="44">
        <v>5353.7252999999928</v>
      </c>
      <c r="S206" s="44">
        <v>118865.74799999993</v>
      </c>
      <c r="T206" s="44">
        <v>29342.632400000071</v>
      </c>
      <c r="U206" s="44">
        <v>0</v>
      </c>
      <c r="V206" s="44">
        <v>0</v>
      </c>
      <c r="W206" s="44">
        <v>0</v>
      </c>
      <c r="X206" s="44">
        <v>0</v>
      </c>
      <c r="Y206" s="44">
        <v>0</v>
      </c>
      <c r="Z206" s="44">
        <v>0</v>
      </c>
      <c r="AA206" s="44">
        <v>24866.977799999953</v>
      </c>
      <c r="AB206" s="44">
        <v>0</v>
      </c>
      <c r="AC206" s="44">
        <v>109100.75288528924</v>
      </c>
      <c r="AD206" s="44">
        <v>0</v>
      </c>
      <c r="AE206" s="44">
        <v>0</v>
      </c>
      <c r="AF206" s="44">
        <v>0</v>
      </c>
      <c r="AG206" s="44">
        <v>138243.54</v>
      </c>
      <c r="AH206" s="44">
        <v>0</v>
      </c>
      <c r="AI206" s="44">
        <v>0</v>
      </c>
      <c r="AJ206" s="44">
        <v>0</v>
      </c>
      <c r="AK206" s="44">
        <v>10705.933300000001</v>
      </c>
      <c r="AL206" s="44">
        <v>0</v>
      </c>
      <c r="AM206" s="44">
        <v>0</v>
      </c>
      <c r="AN206" s="44">
        <v>0</v>
      </c>
      <c r="AO206" s="44">
        <v>0</v>
      </c>
      <c r="AP206" s="44">
        <v>0</v>
      </c>
      <c r="AQ206" s="44">
        <v>0</v>
      </c>
      <c r="AR206" s="44">
        <v>0</v>
      </c>
      <c r="AS206" s="44">
        <v>0</v>
      </c>
      <c r="AT206" s="44">
        <v>1240352.4021999999</v>
      </c>
      <c r="AU206" s="44">
        <v>570850.81208528893</v>
      </c>
      <c r="AV206" s="44">
        <v>148949.47330000001</v>
      </c>
      <c r="AW206" s="44">
        <v>389559.91369528917</v>
      </c>
      <c r="AX206" s="62">
        <v>1960152.6875852889</v>
      </c>
      <c r="AY206" s="62">
        <v>1949446.754285289</v>
      </c>
      <c r="AZ206" s="62">
        <v>4610</v>
      </c>
      <c r="BA206" s="62">
        <v>1599670</v>
      </c>
      <c r="BB206" s="62">
        <v>0</v>
      </c>
      <c r="BC206" s="62">
        <v>0</v>
      </c>
      <c r="BD206" s="62">
        <v>1960152.6875852889</v>
      </c>
      <c r="BE206" s="44">
        <v>1960152.6875852889</v>
      </c>
      <c r="BF206" s="44">
        <v>0</v>
      </c>
      <c r="BG206" s="62">
        <v>1610375.9332999999</v>
      </c>
      <c r="BH206" s="62">
        <v>1461426.46</v>
      </c>
      <c r="BI206" s="44">
        <v>1811203.2142852889</v>
      </c>
      <c r="BJ206" s="44">
        <v>5219.6058048567402</v>
      </c>
      <c r="BK206" s="44">
        <v>5179.0503455840453</v>
      </c>
      <c r="BL206" s="45">
        <v>7.8306748470353769E-3</v>
      </c>
      <c r="BM206" s="45">
        <v>0</v>
      </c>
      <c r="BN206" s="44">
        <v>0</v>
      </c>
      <c r="BO206" s="62">
        <v>1960152.6875852889</v>
      </c>
      <c r="BP206" s="62">
        <v>5618.0021737328216</v>
      </c>
      <c r="BQ206" s="62" t="s">
        <v>92</v>
      </c>
      <c r="BR206" s="62">
        <v>5648.8550074504001</v>
      </c>
      <c r="BS206" s="53">
        <v>1.1393314512300856E-2</v>
      </c>
      <c r="BT206" s="44">
        <v>0</v>
      </c>
      <c r="BU206" s="44">
        <v>1960152.6875852889</v>
      </c>
      <c r="BV206" s="44">
        <v>0</v>
      </c>
      <c r="BW206" s="44">
        <v>1960152.6875852889</v>
      </c>
      <c r="BX206" s="44">
        <v>10705.933300000001</v>
      </c>
      <c r="BY206" s="44">
        <v>1949446.754285289</v>
      </c>
    </row>
    <row r="207" spans="1:77">
      <c r="A207">
        <v>0</v>
      </c>
      <c r="B207" s="60">
        <v>139131</v>
      </c>
      <c r="C207" s="60">
        <v>3302109</v>
      </c>
      <c r="D207" s="61" t="s">
        <v>914</v>
      </c>
      <c r="E207" s="52">
        <v>327</v>
      </c>
      <c r="F207" s="52">
        <v>327</v>
      </c>
      <c r="G207" s="52">
        <v>0</v>
      </c>
      <c r="H207" s="44">
        <v>1168862.3502</v>
      </c>
      <c r="I207" s="44">
        <v>0</v>
      </c>
      <c r="J207" s="44">
        <v>0</v>
      </c>
      <c r="K207" s="44">
        <v>105228.0586</v>
      </c>
      <c r="L207" s="44">
        <v>0</v>
      </c>
      <c r="M207" s="44">
        <v>177741.69119999991</v>
      </c>
      <c r="N207" s="44">
        <v>0</v>
      </c>
      <c r="O207" s="44">
        <v>1650.773600000002</v>
      </c>
      <c r="P207" s="44">
        <v>572.0006000000003</v>
      </c>
      <c r="Q207" s="44">
        <v>14736.542700000065</v>
      </c>
      <c r="R207" s="44">
        <v>23848.412699999957</v>
      </c>
      <c r="S207" s="44">
        <v>13953.805199999993</v>
      </c>
      <c r="T207" s="44">
        <v>83933.576400000064</v>
      </c>
      <c r="U207" s="44">
        <v>0</v>
      </c>
      <c r="V207" s="44">
        <v>0</v>
      </c>
      <c r="W207" s="44">
        <v>0</v>
      </c>
      <c r="X207" s="44">
        <v>0</v>
      </c>
      <c r="Y207" s="44">
        <v>0</v>
      </c>
      <c r="Z207" s="44">
        <v>0</v>
      </c>
      <c r="AA207" s="44">
        <v>45998.870028723504</v>
      </c>
      <c r="AB207" s="44">
        <v>0</v>
      </c>
      <c r="AC207" s="44">
        <v>123970.06838281416</v>
      </c>
      <c r="AD207" s="44">
        <v>0</v>
      </c>
      <c r="AE207" s="44">
        <v>17706.73324799988</v>
      </c>
      <c r="AF207" s="44">
        <v>0</v>
      </c>
      <c r="AG207" s="44">
        <v>138243.54</v>
      </c>
      <c r="AH207" s="44">
        <v>0</v>
      </c>
      <c r="AI207" s="44">
        <v>0</v>
      </c>
      <c r="AJ207" s="44">
        <v>0</v>
      </c>
      <c r="AK207" s="44">
        <v>14097.919</v>
      </c>
      <c r="AL207" s="44">
        <v>0</v>
      </c>
      <c r="AM207" s="44">
        <v>0</v>
      </c>
      <c r="AN207" s="44">
        <v>0</v>
      </c>
      <c r="AO207" s="44">
        <v>0</v>
      </c>
      <c r="AP207" s="44">
        <v>0</v>
      </c>
      <c r="AQ207" s="44">
        <v>0</v>
      </c>
      <c r="AR207" s="44">
        <v>0</v>
      </c>
      <c r="AS207" s="44">
        <v>0</v>
      </c>
      <c r="AT207" s="44">
        <v>1168862.3502</v>
      </c>
      <c r="AU207" s="44">
        <v>609340.53265953762</v>
      </c>
      <c r="AV207" s="44">
        <v>152341.459</v>
      </c>
      <c r="AW207" s="44">
        <v>393245.61639281421</v>
      </c>
      <c r="AX207" s="62">
        <v>1930544.3418595376</v>
      </c>
      <c r="AY207" s="62">
        <v>1916446.4228595376</v>
      </c>
      <c r="AZ207" s="62">
        <v>4610</v>
      </c>
      <c r="BA207" s="62">
        <v>1507470</v>
      </c>
      <c r="BB207" s="62">
        <v>0</v>
      </c>
      <c r="BC207" s="62">
        <v>0</v>
      </c>
      <c r="BD207" s="62">
        <v>1930544.3418595376</v>
      </c>
      <c r="BE207" s="44">
        <v>1930544.3418595376</v>
      </c>
      <c r="BF207" s="44">
        <v>0</v>
      </c>
      <c r="BG207" s="62">
        <v>1521567.919</v>
      </c>
      <c r="BH207" s="62">
        <v>1369226.46</v>
      </c>
      <c r="BI207" s="44">
        <v>1778202.8828595376</v>
      </c>
      <c r="BJ207" s="44">
        <v>5437.9293053808487</v>
      </c>
      <c r="BK207" s="44">
        <v>5439.1551692789963</v>
      </c>
      <c r="BL207" s="45">
        <v>-2.2537762942880096E-4</v>
      </c>
      <c r="BM207" s="45">
        <v>5.2253776294288014E-3</v>
      </c>
      <c r="BN207" s="44">
        <v>9293.876196465395</v>
      </c>
      <c r="BO207" s="62">
        <v>1939838.2180560031</v>
      </c>
      <c r="BP207" s="62">
        <v>5889.1140643914468</v>
      </c>
      <c r="BQ207" s="62" t="s">
        <v>92</v>
      </c>
      <c r="BR207" s="62">
        <v>5932.2269665321191</v>
      </c>
      <c r="BS207" s="53">
        <v>4.5931539157277879E-3</v>
      </c>
      <c r="BT207" s="44">
        <v>0</v>
      </c>
      <c r="BU207" s="44">
        <v>1939838.2180560031</v>
      </c>
      <c r="BV207" s="44">
        <v>0</v>
      </c>
      <c r="BW207" s="44">
        <v>1939838.2180560031</v>
      </c>
      <c r="BX207" s="44">
        <v>14097.919</v>
      </c>
      <c r="BY207" s="44">
        <v>1925740.2990560031</v>
      </c>
    </row>
    <row r="208" spans="1:77">
      <c r="A208">
        <v>0</v>
      </c>
      <c r="B208" s="60">
        <v>139214</v>
      </c>
      <c r="C208" s="60">
        <v>3302110</v>
      </c>
      <c r="D208" s="61" t="s">
        <v>915</v>
      </c>
      <c r="E208" s="52">
        <v>420</v>
      </c>
      <c r="F208" s="52">
        <v>420</v>
      </c>
      <c r="G208" s="52">
        <v>0</v>
      </c>
      <c r="H208" s="44">
        <v>1501291.0919999999</v>
      </c>
      <c r="I208" s="44">
        <v>0</v>
      </c>
      <c r="J208" s="44">
        <v>0</v>
      </c>
      <c r="K208" s="44">
        <v>107194.93819999999</v>
      </c>
      <c r="L208" s="44">
        <v>0</v>
      </c>
      <c r="M208" s="44">
        <v>186793.35139999984</v>
      </c>
      <c r="N208" s="44">
        <v>0</v>
      </c>
      <c r="O208" s="44">
        <v>12734.539200000045</v>
      </c>
      <c r="P208" s="44">
        <v>44330.046499999989</v>
      </c>
      <c r="Q208" s="44">
        <v>44209.628100000045</v>
      </c>
      <c r="R208" s="44">
        <v>25308.519600000036</v>
      </c>
      <c r="S208" s="44">
        <v>23256.341999999968</v>
      </c>
      <c r="T208" s="44">
        <v>4094.3208000000036</v>
      </c>
      <c r="U208" s="44">
        <v>0</v>
      </c>
      <c r="V208" s="44">
        <v>0</v>
      </c>
      <c r="W208" s="44">
        <v>0</v>
      </c>
      <c r="X208" s="44">
        <v>0</v>
      </c>
      <c r="Y208" s="44">
        <v>0</v>
      </c>
      <c r="Z208" s="44">
        <v>0</v>
      </c>
      <c r="AA208" s="44">
        <v>104993.90626666661</v>
      </c>
      <c r="AB208" s="44">
        <v>0</v>
      </c>
      <c r="AC208" s="44">
        <v>111795.84396137211</v>
      </c>
      <c r="AD208" s="44">
        <v>0</v>
      </c>
      <c r="AE208" s="44">
        <v>0</v>
      </c>
      <c r="AF208" s="44">
        <v>0</v>
      </c>
      <c r="AG208" s="44">
        <v>138243.54</v>
      </c>
      <c r="AH208" s="44">
        <v>0</v>
      </c>
      <c r="AI208" s="44">
        <v>0</v>
      </c>
      <c r="AJ208" s="44">
        <v>0</v>
      </c>
      <c r="AK208" s="44">
        <v>4716.9674000000005</v>
      </c>
      <c r="AL208" s="44">
        <v>0</v>
      </c>
      <c r="AM208" s="44">
        <v>0</v>
      </c>
      <c r="AN208" s="44">
        <v>0</v>
      </c>
      <c r="AO208" s="44">
        <v>0</v>
      </c>
      <c r="AP208" s="44">
        <v>0</v>
      </c>
      <c r="AQ208" s="44">
        <v>0</v>
      </c>
      <c r="AR208" s="44">
        <v>0</v>
      </c>
      <c r="AS208" s="44">
        <v>0</v>
      </c>
      <c r="AT208" s="44">
        <v>1501291.0919999999</v>
      </c>
      <c r="AU208" s="44">
        <v>664711.43602803873</v>
      </c>
      <c r="AV208" s="44">
        <v>142960.5074</v>
      </c>
      <c r="AW208" s="44">
        <v>410821.24146137206</v>
      </c>
      <c r="AX208" s="62">
        <v>2308963.0354280388</v>
      </c>
      <c r="AY208" s="62">
        <v>2304246.0680280388</v>
      </c>
      <c r="AZ208" s="62">
        <v>4610</v>
      </c>
      <c r="BA208" s="62">
        <v>1936200</v>
      </c>
      <c r="BB208" s="62">
        <v>0</v>
      </c>
      <c r="BC208" s="62">
        <v>0</v>
      </c>
      <c r="BD208" s="62">
        <v>2308963.0354280388</v>
      </c>
      <c r="BE208" s="44">
        <v>2308963.0354280388</v>
      </c>
      <c r="BF208" s="44">
        <v>0</v>
      </c>
      <c r="BG208" s="62">
        <v>1940916.9674</v>
      </c>
      <c r="BH208" s="62">
        <v>1797956.46</v>
      </c>
      <c r="BI208" s="44">
        <v>2166002.5280280388</v>
      </c>
      <c r="BJ208" s="44">
        <v>5157.1488762572353</v>
      </c>
      <c r="BK208" s="44">
        <v>5122.6622361904765</v>
      </c>
      <c r="BL208" s="45">
        <v>6.7321713743135978E-3</v>
      </c>
      <c r="BM208" s="45">
        <v>0</v>
      </c>
      <c r="BN208" s="44">
        <v>0</v>
      </c>
      <c r="BO208" s="62">
        <v>2308963.0354280388</v>
      </c>
      <c r="BP208" s="62">
        <v>5486.3001619715214</v>
      </c>
      <c r="BQ208" s="62" t="s">
        <v>92</v>
      </c>
      <c r="BR208" s="62">
        <v>5497.5310367334259</v>
      </c>
      <c r="BS208" s="53">
        <v>2.3938260746516615E-3</v>
      </c>
      <c r="BT208" s="44">
        <v>0</v>
      </c>
      <c r="BU208" s="44">
        <v>2308963.0354280388</v>
      </c>
      <c r="BV208" s="44">
        <v>0</v>
      </c>
      <c r="BW208" s="44">
        <v>2308963.0354280388</v>
      </c>
      <c r="BX208" s="44">
        <v>4716.9674000000005</v>
      </c>
      <c r="BY208" s="44">
        <v>2304246.0680280388</v>
      </c>
    </row>
    <row r="209" spans="1:77">
      <c r="A209">
        <v>0</v>
      </c>
      <c r="B209" s="60">
        <v>142353</v>
      </c>
      <c r="C209" s="60">
        <v>3302111</v>
      </c>
      <c r="D209" s="61" t="s">
        <v>916</v>
      </c>
      <c r="E209" s="52">
        <v>203</v>
      </c>
      <c r="F209" s="52">
        <v>203</v>
      </c>
      <c r="G209" s="52">
        <v>0</v>
      </c>
      <c r="H209" s="44">
        <v>725624.02779999992</v>
      </c>
      <c r="I209" s="44">
        <v>0</v>
      </c>
      <c r="J209" s="44">
        <v>0</v>
      </c>
      <c r="K209" s="44">
        <v>55072.628799999955</v>
      </c>
      <c r="L209" s="44">
        <v>0</v>
      </c>
      <c r="M209" s="44">
        <v>92985.236600000062</v>
      </c>
      <c r="N209" s="44">
        <v>0</v>
      </c>
      <c r="O209" s="44">
        <v>235.82480000000018</v>
      </c>
      <c r="P209" s="44">
        <v>2002.0021000000027</v>
      </c>
      <c r="Q209" s="44">
        <v>3125.9333000000042</v>
      </c>
      <c r="R209" s="44">
        <v>10707.450599999978</v>
      </c>
      <c r="S209" s="44">
        <v>63050.527200000011</v>
      </c>
      <c r="T209" s="44">
        <v>23883.53799999996</v>
      </c>
      <c r="U209" s="44">
        <v>0</v>
      </c>
      <c r="V209" s="44">
        <v>0</v>
      </c>
      <c r="W209" s="44">
        <v>0</v>
      </c>
      <c r="X209" s="44">
        <v>0</v>
      </c>
      <c r="Y209" s="44">
        <v>0</v>
      </c>
      <c r="Z209" s="44">
        <v>0</v>
      </c>
      <c r="AA209" s="44">
        <v>23901.498548295414</v>
      </c>
      <c r="AB209" s="44">
        <v>0</v>
      </c>
      <c r="AC209" s="44">
        <v>94360.91325098816</v>
      </c>
      <c r="AD209" s="44">
        <v>0</v>
      </c>
      <c r="AE209" s="44">
        <v>12350.398272000017</v>
      </c>
      <c r="AF209" s="44">
        <v>0</v>
      </c>
      <c r="AG209" s="44">
        <v>138243.54</v>
      </c>
      <c r="AH209" s="44">
        <v>0</v>
      </c>
      <c r="AI209" s="44">
        <v>0</v>
      </c>
      <c r="AJ209" s="44">
        <v>0</v>
      </c>
      <c r="AK209" s="44">
        <v>2967.9861999999998</v>
      </c>
      <c r="AL209" s="44">
        <v>0</v>
      </c>
      <c r="AM209" s="44">
        <v>0</v>
      </c>
      <c r="AN209" s="44">
        <v>0</v>
      </c>
      <c r="AO209" s="44">
        <v>0</v>
      </c>
      <c r="AP209" s="44">
        <v>0</v>
      </c>
      <c r="AQ209" s="44">
        <v>0</v>
      </c>
      <c r="AR209" s="44">
        <v>0</v>
      </c>
      <c r="AS209" s="44">
        <v>0</v>
      </c>
      <c r="AT209" s="44">
        <v>725624.02779999992</v>
      </c>
      <c r="AU209" s="44">
        <v>381675.95147128362</v>
      </c>
      <c r="AV209" s="44">
        <v>141211.52620000002</v>
      </c>
      <c r="AW209" s="44">
        <v>256173.68534098816</v>
      </c>
      <c r="AX209" s="62">
        <v>1248511.5054712836</v>
      </c>
      <c r="AY209" s="62">
        <v>1245543.5192712836</v>
      </c>
      <c r="AZ209" s="62">
        <v>4610</v>
      </c>
      <c r="BA209" s="62">
        <v>935830</v>
      </c>
      <c r="BB209" s="62">
        <v>0</v>
      </c>
      <c r="BC209" s="62">
        <v>0</v>
      </c>
      <c r="BD209" s="62">
        <v>1248511.5054712836</v>
      </c>
      <c r="BE209" s="44">
        <v>1248511.5054712836</v>
      </c>
      <c r="BF209" s="44">
        <v>0</v>
      </c>
      <c r="BG209" s="62">
        <v>938797.98620000004</v>
      </c>
      <c r="BH209" s="62">
        <v>797586.46</v>
      </c>
      <c r="BI209" s="44">
        <v>1107299.9792712836</v>
      </c>
      <c r="BJ209" s="44">
        <v>5454.6797008437616</v>
      </c>
      <c r="BK209" s="44">
        <v>5292.8149111111106</v>
      </c>
      <c r="BL209" s="45">
        <v>3.0581985663781876E-2</v>
      </c>
      <c r="BM209" s="45">
        <v>0</v>
      </c>
      <c r="BN209" s="44">
        <v>0</v>
      </c>
      <c r="BO209" s="62">
        <v>1248511.5054712836</v>
      </c>
      <c r="BP209" s="62">
        <v>6135.6823609422836</v>
      </c>
      <c r="BQ209" s="62" t="s">
        <v>92</v>
      </c>
      <c r="BR209" s="62">
        <v>6150.3029826171605</v>
      </c>
      <c r="BS209" s="53">
        <v>2.2639828235759829E-2</v>
      </c>
      <c r="BT209" s="44">
        <v>0</v>
      </c>
      <c r="BU209" s="44">
        <v>1248511.5054712836</v>
      </c>
      <c r="BV209" s="44">
        <v>0</v>
      </c>
      <c r="BW209" s="44">
        <v>1248511.5054712836</v>
      </c>
      <c r="BX209" s="44">
        <v>2967.9861999999998</v>
      </c>
      <c r="BY209" s="44">
        <v>1245543.5192712836</v>
      </c>
    </row>
    <row r="210" spans="1:77">
      <c r="A210">
        <v>0</v>
      </c>
      <c r="B210" s="60">
        <v>139242</v>
      </c>
      <c r="C210" s="60">
        <v>3302117</v>
      </c>
      <c r="D210" s="61" t="s">
        <v>917</v>
      </c>
      <c r="E210" s="52">
        <v>205</v>
      </c>
      <c r="F210" s="52">
        <v>205</v>
      </c>
      <c r="G210" s="52">
        <v>0</v>
      </c>
      <c r="H210" s="44">
        <v>732773.03299999994</v>
      </c>
      <c r="I210" s="44">
        <v>0</v>
      </c>
      <c r="J210" s="44">
        <v>0</v>
      </c>
      <c r="K210" s="44">
        <v>45729.950700000016</v>
      </c>
      <c r="L210" s="44">
        <v>0</v>
      </c>
      <c r="M210" s="44">
        <v>78173.428999999916</v>
      </c>
      <c r="N210" s="44">
        <v>0</v>
      </c>
      <c r="O210" s="44">
        <v>235.82479999999975</v>
      </c>
      <c r="P210" s="44">
        <v>2002.0020999999981</v>
      </c>
      <c r="Q210" s="44">
        <v>50014.93279999998</v>
      </c>
      <c r="R210" s="44">
        <v>19468.091999999982</v>
      </c>
      <c r="S210" s="44">
        <v>16021.035600000005</v>
      </c>
      <c r="T210" s="44">
        <v>6823.8680000000068</v>
      </c>
      <c r="U210" s="44">
        <v>0</v>
      </c>
      <c r="V210" s="44">
        <v>0</v>
      </c>
      <c r="W210" s="44">
        <v>0</v>
      </c>
      <c r="X210" s="44">
        <v>0</v>
      </c>
      <c r="Y210" s="44">
        <v>0</v>
      </c>
      <c r="Z210" s="44">
        <v>0</v>
      </c>
      <c r="AA210" s="44">
        <v>61034.051634285737</v>
      </c>
      <c r="AB210" s="44">
        <v>0</v>
      </c>
      <c r="AC210" s="44">
        <v>78810.096828765498</v>
      </c>
      <c r="AD210" s="44">
        <v>0</v>
      </c>
      <c r="AE210" s="44">
        <v>8480.4859199999537</v>
      </c>
      <c r="AF210" s="44">
        <v>0</v>
      </c>
      <c r="AG210" s="44">
        <v>138243.54</v>
      </c>
      <c r="AH210" s="44">
        <v>0</v>
      </c>
      <c r="AI210" s="44">
        <v>0</v>
      </c>
      <c r="AJ210" s="44">
        <v>0</v>
      </c>
      <c r="AK210" s="44">
        <v>4027.9798000000001</v>
      </c>
      <c r="AL210" s="44">
        <v>0</v>
      </c>
      <c r="AM210" s="44">
        <v>0</v>
      </c>
      <c r="AN210" s="44">
        <v>0</v>
      </c>
      <c r="AO210" s="44">
        <v>0</v>
      </c>
      <c r="AP210" s="44">
        <v>0</v>
      </c>
      <c r="AQ210" s="44">
        <v>0</v>
      </c>
      <c r="AR210" s="44">
        <v>0</v>
      </c>
      <c r="AS210" s="44">
        <v>0</v>
      </c>
      <c r="AT210" s="44">
        <v>732773.03299999994</v>
      </c>
      <c r="AU210" s="44">
        <v>366793.76938305114</v>
      </c>
      <c r="AV210" s="44">
        <v>142271.51980000001</v>
      </c>
      <c r="AW210" s="44">
        <v>224683.31597876546</v>
      </c>
      <c r="AX210" s="62">
        <v>1241838.3221830511</v>
      </c>
      <c r="AY210" s="62">
        <v>1237810.3423830511</v>
      </c>
      <c r="AZ210" s="62">
        <v>4610</v>
      </c>
      <c r="BA210" s="62">
        <v>945050</v>
      </c>
      <c r="BB210" s="62">
        <v>0</v>
      </c>
      <c r="BC210" s="62">
        <v>0</v>
      </c>
      <c r="BD210" s="62">
        <v>1241838.3221830511</v>
      </c>
      <c r="BE210" s="44">
        <v>1241838.3221830511</v>
      </c>
      <c r="BF210" s="44">
        <v>0</v>
      </c>
      <c r="BG210" s="62">
        <v>949077.97979999997</v>
      </c>
      <c r="BH210" s="62">
        <v>806806.46</v>
      </c>
      <c r="BI210" s="44">
        <v>1099566.802383051</v>
      </c>
      <c r="BJ210" s="44">
        <v>5363.7404994295175</v>
      </c>
      <c r="BK210" s="44">
        <v>5558.984677835052</v>
      </c>
      <c r="BL210" s="45">
        <v>-3.512227317049782E-2</v>
      </c>
      <c r="BM210" s="45">
        <v>4.0122273170497817E-2</v>
      </c>
      <c r="BN210" s="44">
        <v>45723.015867915499</v>
      </c>
      <c r="BO210" s="62">
        <v>1287561.3380509666</v>
      </c>
      <c r="BP210" s="62">
        <v>6261.138332931544</v>
      </c>
      <c r="BQ210" s="62" t="s">
        <v>92</v>
      </c>
      <c r="BR210" s="62">
        <v>6280.7870148827642</v>
      </c>
      <c r="BS210" s="53">
        <v>-8.9820864124545707E-4</v>
      </c>
      <c r="BT210" s="44">
        <v>0</v>
      </c>
      <c r="BU210" s="44">
        <v>1287561.3380509666</v>
      </c>
      <c r="BV210" s="44">
        <v>0</v>
      </c>
      <c r="BW210" s="44">
        <v>1287561.3380509666</v>
      </c>
      <c r="BX210" s="44">
        <v>4027.9798000000001</v>
      </c>
      <c r="BY210" s="44">
        <v>1283533.3582509665</v>
      </c>
    </row>
    <row r="211" spans="1:77">
      <c r="A211">
        <v>0</v>
      </c>
      <c r="B211" s="60">
        <v>139267</v>
      </c>
      <c r="C211" s="60">
        <v>3302120</v>
      </c>
      <c r="D211" s="61" t="s">
        <v>918</v>
      </c>
      <c r="E211" s="52">
        <v>211</v>
      </c>
      <c r="F211" s="52">
        <v>211</v>
      </c>
      <c r="G211" s="52">
        <v>0</v>
      </c>
      <c r="H211" s="44">
        <v>754220.04859999998</v>
      </c>
      <c r="I211" s="44">
        <v>0</v>
      </c>
      <c r="J211" s="44">
        <v>0</v>
      </c>
      <c r="K211" s="44">
        <v>55072.62880000005</v>
      </c>
      <c r="L211" s="44">
        <v>0</v>
      </c>
      <c r="M211" s="44">
        <v>97922.505799999926</v>
      </c>
      <c r="N211" s="44">
        <v>0</v>
      </c>
      <c r="O211" s="44">
        <v>478.45223846153868</v>
      </c>
      <c r="P211" s="44">
        <v>2321.0024346153868</v>
      </c>
      <c r="Q211" s="44">
        <v>10419.062022596147</v>
      </c>
      <c r="R211" s="44">
        <v>5430.9424918269242</v>
      </c>
      <c r="S211" s="44">
        <v>31979.954901923102</v>
      </c>
      <c r="T211" s="44">
        <v>44302.650707692352</v>
      </c>
      <c r="U211" s="44">
        <v>0</v>
      </c>
      <c r="V211" s="44">
        <v>0</v>
      </c>
      <c r="W211" s="44">
        <v>0</v>
      </c>
      <c r="X211" s="44">
        <v>0</v>
      </c>
      <c r="Y211" s="44">
        <v>0</v>
      </c>
      <c r="Z211" s="44">
        <v>0</v>
      </c>
      <c r="AA211" s="44">
        <v>47624.089685635408</v>
      </c>
      <c r="AB211" s="44">
        <v>0</v>
      </c>
      <c r="AC211" s="44">
        <v>91537.862766509395</v>
      </c>
      <c r="AD211" s="44">
        <v>0</v>
      </c>
      <c r="AE211" s="44">
        <v>4259.0111268571527</v>
      </c>
      <c r="AF211" s="44">
        <v>0</v>
      </c>
      <c r="AG211" s="44">
        <v>138243.54</v>
      </c>
      <c r="AH211" s="44">
        <v>0</v>
      </c>
      <c r="AI211" s="44">
        <v>0</v>
      </c>
      <c r="AJ211" s="44">
        <v>0</v>
      </c>
      <c r="AK211" s="44">
        <v>3621.7066</v>
      </c>
      <c r="AL211" s="44">
        <v>0</v>
      </c>
      <c r="AM211" s="44">
        <v>0</v>
      </c>
      <c r="AN211" s="44">
        <v>0</v>
      </c>
      <c r="AO211" s="44">
        <v>0</v>
      </c>
      <c r="AP211" s="44">
        <v>0</v>
      </c>
      <c r="AQ211" s="44">
        <v>0</v>
      </c>
      <c r="AR211" s="44">
        <v>0</v>
      </c>
      <c r="AS211" s="44">
        <v>0</v>
      </c>
      <c r="AT211" s="44">
        <v>754220.04859999998</v>
      </c>
      <c r="AU211" s="44">
        <v>391348.16297611734</v>
      </c>
      <c r="AV211" s="44">
        <v>141865.24660000001</v>
      </c>
      <c r="AW211" s="44">
        <v>253212.4648950671</v>
      </c>
      <c r="AX211" s="62">
        <v>1287433.4581761172</v>
      </c>
      <c r="AY211" s="62">
        <v>1283811.7515761172</v>
      </c>
      <c r="AZ211" s="62">
        <v>4610</v>
      </c>
      <c r="BA211" s="62">
        <v>972710</v>
      </c>
      <c r="BB211" s="62">
        <v>0</v>
      </c>
      <c r="BC211" s="62">
        <v>0</v>
      </c>
      <c r="BD211" s="62">
        <v>1287433.4581761172</v>
      </c>
      <c r="BE211" s="44">
        <v>1287433.4581761176</v>
      </c>
      <c r="BF211" s="44">
        <v>0</v>
      </c>
      <c r="BG211" s="62">
        <v>976331.70660000003</v>
      </c>
      <c r="BH211" s="62">
        <v>834466.46</v>
      </c>
      <c r="BI211" s="44">
        <v>1145568.2115761172</v>
      </c>
      <c r="BJ211" s="44">
        <v>5429.233230218565</v>
      </c>
      <c r="BK211" s="44">
        <v>5296.9571739336488</v>
      </c>
      <c r="BL211" s="45">
        <v>2.4972083394566091E-2</v>
      </c>
      <c r="BM211" s="45">
        <v>0</v>
      </c>
      <c r="BN211" s="44">
        <v>0</v>
      </c>
      <c r="BO211" s="62">
        <v>1287433.4581761172</v>
      </c>
      <c r="BP211" s="62">
        <v>6084.4158842470015</v>
      </c>
      <c r="BQ211" s="62" t="s">
        <v>92</v>
      </c>
      <c r="BR211" s="62">
        <v>6101.5803705029248</v>
      </c>
      <c r="BS211" s="53">
        <v>2.1924930773008944E-2</v>
      </c>
      <c r="BT211" s="44">
        <v>0</v>
      </c>
      <c r="BU211" s="44">
        <v>1287433.4581761172</v>
      </c>
      <c r="BV211" s="44">
        <v>0</v>
      </c>
      <c r="BW211" s="44">
        <v>1287433.4581761172</v>
      </c>
      <c r="BX211" s="44">
        <v>3621.7066</v>
      </c>
      <c r="BY211" s="44">
        <v>1283811.7515761172</v>
      </c>
    </row>
    <row r="212" spans="1:77">
      <c r="A212">
        <v>0</v>
      </c>
      <c r="B212" s="60">
        <v>139269</v>
      </c>
      <c r="C212" s="60">
        <v>3302121</v>
      </c>
      <c r="D212" s="61" t="s">
        <v>919</v>
      </c>
      <c r="E212" s="52">
        <v>203</v>
      </c>
      <c r="F212" s="52">
        <v>203</v>
      </c>
      <c r="G212" s="52">
        <v>0</v>
      </c>
      <c r="H212" s="44">
        <v>725624.02779999992</v>
      </c>
      <c r="I212" s="44">
        <v>0</v>
      </c>
      <c r="J212" s="44">
        <v>0</v>
      </c>
      <c r="K212" s="44">
        <v>71299.385499999975</v>
      </c>
      <c r="L212" s="44">
        <v>0</v>
      </c>
      <c r="M212" s="44">
        <v>119317.33899999995</v>
      </c>
      <c r="N212" s="44">
        <v>0</v>
      </c>
      <c r="O212" s="44">
        <v>2594.0727999999999</v>
      </c>
      <c r="P212" s="44">
        <v>858.00089999999943</v>
      </c>
      <c r="Q212" s="44">
        <v>3125.9333000000042</v>
      </c>
      <c r="R212" s="44">
        <v>1946.8091999999954</v>
      </c>
      <c r="S212" s="44">
        <v>78554.755200000014</v>
      </c>
      <c r="T212" s="44">
        <v>11600.575599999998</v>
      </c>
      <c r="U212" s="44">
        <v>0</v>
      </c>
      <c r="V212" s="44">
        <v>0</v>
      </c>
      <c r="W212" s="44">
        <v>0</v>
      </c>
      <c r="X212" s="44">
        <v>0</v>
      </c>
      <c r="Y212" s="44">
        <v>0</v>
      </c>
      <c r="Z212" s="44">
        <v>0</v>
      </c>
      <c r="AA212" s="44">
        <v>13200.100932369978</v>
      </c>
      <c r="AB212" s="44">
        <v>0</v>
      </c>
      <c r="AC212" s="44">
        <v>78507.675023076881</v>
      </c>
      <c r="AD212" s="44">
        <v>0</v>
      </c>
      <c r="AE212" s="44">
        <v>3680.0718720000032</v>
      </c>
      <c r="AF212" s="44">
        <v>0</v>
      </c>
      <c r="AG212" s="44">
        <v>138243.54</v>
      </c>
      <c r="AH212" s="44">
        <v>0</v>
      </c>
      <c r="AI212" s="44">
        <v>0</v>
      </c>
      <c r="AJ212" s="44">
        <v>0</v>
      </c>
      <c r="AK212" s="44">
        <v>14627.915800000001</v>
      </c>
      <c r="AL212" s="44">
        <v>0</v>
      </c>
      <c r="AM212" s="44">
        <v>0</v>
      </c>
      <c r="AN212" s="44">
        <v>0</v>
      </c>
      <c r="AO212" s="44">
        <v>0</v>
      </c>
      <c r="AP212" s="44">
        <v>0</v>
      </c>
      <c r="AQ212" s="44">
        <v>0</v>
      </c>
      <c r="AR212" s="44">
        <v>0</v>
      </c>
      <c r="AS212" s="44">
        <v>0</v>
      </c>
      <c r="AT212" s="44">
        <v>725624.02779999992</v>
      </c>
      <c r="AU212" s="44">
        <v>384684.71932744677</v>
      </c>
      <c r="AV212" s="44">
        <v>152871.4558</v>
      </c>
      <c r="AW212" s="44">
        <v>259437.31216307683</v>
      </c>
      <c r="AX212" s="62">
        <v>1263180.2029274469</v>
      </c>
      <c r="AY212" s="62">
        <v>1248552.2871274468</v>
      </c>
      <c r="AZ212" s="62">
        <v>4610</v>
      </c>
      <c r="BA212" s="62">
        <v>935830</v>
      </c>
      <c r="BB212" s="62">
        <v>0</v>
      </c>
      <c r="BC212" s="62">
        <v>0</v>
      </c>
      <c r="BD212" s="62">
        <v>1263180.2029274469</v>
      </c>
      <c r="BE212" s="44">
        <v>1263180.2029274469</v>
      </c>
      <c r="BF212" s="44">
        <v>0</v>
      </c>
      <c r="BG212" s="62">
        <v>950457.91579999996</v>
      </c>
      <c r="BH212" s="62">
        <v>797586.46</v>
      </c>
      <c r="BI212" s="44">
        <v>1110308.7471274468</v>
      </c>
      <c r="BJ212" s="44">
        <v>5469.5012173765854</v>
      </c>
      <c r="BK212" s="44">
        <v>5756.5884799019605</v>
      </c>
      <c r="BL212" s="45">
        <v>-4.9871076163892199E-2</v>
      </c>
      <c r="BM212" s="45">
        <v>5.4871076163892196E-2</v>
      </c>
      <c r="BN212" s="44">
        <v>64121.651599751633</v>
      </c>
      <c r="BO212" s="62">
        <v>1327301.8545271985</v>
      </c>
      <c r="BP212" s="62">
        <v>6466.3740823999924</v>
      </c>
      <c r="BQ212" s="62" t="s">
        <v>92</v>
      </c>
      <c r="BR212" s="62">
        <v>6538.4327809221604</v>
      </c>
      <c r="BS212" s="53">
        <v>1.3476503353841318E-2</v>
      </c>
      <c r="BT212" s="44">
        <v>0</v>
      </c>
      <c r="BU212" s="44">
        <v>1327301.8545271985</v>
      </c>
      <c r="BV212" s="44">
        <v>0</v>
      </c>
      <c r="BW212" s="44">
        <v>1327301.8545271985</v>
      </c>
      <c r="BX212" s="44">
        <v>14627.915800000001</v>
      </c>
      <c r="BY212" s="44">
        <v>1312673.9387271984</v>
      </c>
    </row>
    <row r="213" spans="1:77">
      <c r="A213">
        <v>0</v>
      </c>
      <c r="B213" s="60">
        <v>139378</v>
      </c>
      <c r="C213" s="60">
        <v>3302122</v>
      </c>
      <c r="D213" s="61" t="s">
        <v>920</v>
      </c>
      <c r="E213" s="52">
        <v>593</v>
      </c>
      <c r="F213" s="52">
        <v>593</v>
      </c>
      <c r="G213" s="52">
        <v>0</v>
      </c>
      <c r="H213" s="44">
        <v>2119680.0417999998</v>
      </c>
      <c r="I213" s="44">
        <v>0</v>
      </c>
      <c r="J213" s="44">
        <v>0</v>
      </c>
      <c r="K213" s="44">
        <v>136698.13219999991</v>
      </c>
      <c r="L213" s="44">
        <v>0</v>
      </c>
      <c r="M213" s="44">
        <v>236988.92160000015</v>
      </c>
      <c r="N213" s="44">
        <v>0</v>
      </c>
      <c r="O213" s="44">
        <v>7322.9177337837891</v>
      </c>
      <c r="P213" s="44">
        <v>81074.804638006826</v>
      </c>
      <c r="Q213" s="44">
        <v>21471.178921621628</v>
      </c>
      <c r="R213" s="44">
        <v>92142.117697804133</v>
      </c>
      <c r="S213" s="44">
        <v>7765.2087871621507</v>
      </c>
      <c r="T213" s="44">
        <v>0</v>
      </c>
      <c r="U213" s="44">
        <v>0</v>
      </c>
      <c r="V213" s="44">
        <v>0</v>
      </c>
      <c r="W213" s="44">
        <v>0</v>
      </c>
      <c r="X213" s="44">
        <v>0</v>
      </c>
      <c r="Y213" s="44">
        <v>0</v>
      </c>
      <c r="Z213" s="44">
        <v>0</v>
      </c>
      <c r="AA213" s="44">
        <v>124040.62621736538</v>
      </c>
      <c r="AB213" s="44">
        <v>0</v>
      </c>
      <c r="AC213" s="44">
        <v>246074.32120857219</v>
      </c>
      <c r="AD213" s="44">
        <v>0</v>
      </c>
      <c r="AE213" s="44">
        <v>28448.109010378204</v>
      </c>
      <c r="AF213" s="44">
        <v>0</v>
      </c>
      <c r="AG213" s="44">
        <v>138243.54</v>
      </c>
      <c r="AH213" s="44">
        <v>0</v>
      </c>
      <c r="AI213" s="44">
        <v>0</v>
      </c>
      <c r="AJ213" s="44">
        <v>0</v>
      </c>
      <c r="AK213" s="44">
        <v>3179.9807999999998</v>
      </c>
      <c r="AL213" s="44">
        <v>0</v>
      </c>
      <c r="AM213" s="44">
        <v>0</v>
      </c>
      <c r="AN213" s="44">
        <v>0</v>
      </c>
      <c r="AO213" s="44">
        <v>0</v>
      </c>
      <c r="AP213" s="44">
        <v>0</v>
      </c>
      <c r="AQ213" s="44">
        <v>0</v>
      </c>
      <c r="AR213" s="44">
        <v>0</v>
      </c>
      <c r="AS213" s="44">
        <v>0</v>
      </c>
      <c r="AT213" s="44">
        <v>2119680.0417999998</v>
      </c>
      <c r="AU213" s="44">
        <v>982026.33801469451</v>
      </c>
      <c r="AV213" s="44">
        <v>141423.5208</v>
      </c>
      <c r="AW213" s="44">
        <v>643789.96408776147</v>
      </c>
      <c r="AX213" s="62">
        <v>3243129.9006146942</v>
      </c>
      <c r="AY213" s="62">
        <v>3239949.9198146942</v>
      </c>
      <c r="AZ213" s="62">
        <v>4610</v>
      </c>
      <c r="BA213" s="62">
        <v>2733730</v>
      </c>
      <c r="BB213" s="62">
        <v>0</v>
      </c>
      <c r="BC213" s="62">
        <v>0</v>
      </c>
      <c r="BD213" s="62">
        <v>3243129.9006146942</v>
      </c>
      <c r="BE213" s="44">
        <v>3243129.9006146942</v>
      </c>
      <c r="BF213" s="44">
        <v>0</v>
      </c>
      <c r="BG213" s="62">
        <v>2736909.9808</v>
      </c>
      <c r="BH213" s="62">
        <v>2595486.46</v>
      </c>
      <c r="BI213" s="44">
        <v>3101706.3798146942</v>
      </c>
      <c r="BJ213" s="44">
        <v>5230.5335241394505</v>
      </c>
      <c r="BK213" s="44">
        <v>5094.8050478584737</v>
      </c>
      <c r="BL213" s="45">
        <v>2.6640563280832162E-2</v>
      </c>
      <c r="BM213" s="45">
        <v>0</v>
      </c>
      <c r="BN213" s="44">
        <v>0</v>
      </c>
      <c r="BO213" s="62">
        <v>3243129.9006146942</v>
      </c>
      <c r="BP213" s="62">
        <v>5463.6592239708161</v>
      </c>
      <c r="BQ213" s="62" t="s">
        <v>92</v>
      </c>
      <c r="BR213" s="62">
        <v>5469.0217548308501</v>
      </c>
      <c r="BS213" s="53">
        <v>1.6794666759521126E-2</v>
      </c>
      <c r="BT213" s="44">
        <v>0</v>
      </c>
      <c r="BU213" s="44">
        <v>3243129.9006146942</v>
      </c>
      <c r="BV213" s="44">
        <v>0</v>
      </c>
      <c r="BW213" s="44">
        <v>3243129.9006146942</v>
      </c>
      <c r="BX213" s="44">
        <v>3179.9807999999998</v>
      </c>
      <c r="BY213" s="44">
        <v>3239949.9198146942</v>
      </c>
    </row>
    <row r="214" spans="1:77">
      <c r="A214">
        <v>0</v>
      </c>
      <c r="B214" s="60">
        <v>139439</v>
      </c>
      <c r="C214" s="60">
        <v>3302126</v>
      </c>
      <c r="D214" s="61" t="s">
        <v>921</v>
      </c>
      <c r="E214" s="52">
        <v>202</v>
      </c>
      <c r="F214" s="52">
        <v>202</v>
      </c>
      <c r="G214" s="52">
        <v>0</v>
      </c>
      <c r="H214" s="44">
        <v>722049.52519999992</v>
      </c>
      <c r="I214" s="44">
        <v>0</v>
      </c>
      <c r="J214" s="44">
        <v>0</v>
      </c>
      <c r="K214" s="44">
        <v>35403.832799999953</v>
      </c>
      <c r="L214" s="44">
        <v>0</v>
      </c>
      <c r="M214" s="44">
        <v>60892.986799999941</v>
      </c>
      <c r="N214" s="44">
        <v>0</v>
      </c>
      <c r="O214" s="44">
        <v>3065.7224000000024</v>
      </c>
      <c r="P214" s="44">
        <v>4004.0041999999994</v>
      </c>
      <c r="Q214" s="44">
        <v>4912.1809000000039</v>
      </c>
      <c r="R214" s="44">
        <v>27742.031099999978</v>
      </c>
      <c r="S214" s="44">
        <v>21705.919200000008</v>
      </c>
      <c r="T214" s="44">
        <v>3411.9340000000066</v>
      </c>
      <c r="U214" s="44">
        <v>0</v>
      </c>
      <c r="V214" s="44">
        <v>0</v>
      </c>
      <c r="W214" s="44">
        <v>0</v>
      </c>
      <c r="X214" s="44">
        <v>0</v>
      </c>
      <c r="Y214" s="44">
        <v>0</v>
      </c>
      <c r="Z214" s="44">
        <v>0</v>
      </c>
      <c r="AA214" s="44">
        <v>46052.227359770142</v>
      </c>
      <c r="AB214" s="44">
        <v>0</v>
      </c>
      <c r="AC214" s="44">
        <v>88707.573219740283</v>
      </c>
      <c r="AD214" s="44">
        <v>0</v>
      </c>
      <c r="AE214" s="44">
        <v>12408.200448000047</v>
      </c>
      <c r="AF214" s="44">
        <v>0</v>
      </c>
      <c r="AG214" s="44">
        <v>138243.54</v>
      </c>
      <c r="AH214" s="44">
        <v>0</v>
      </c>
      <c r="AI214" s="44">
        <v>0</v>
      </c>
      <c r="AJ214" s="44">
        <v>0</v>
      </c>
      <c r="AK214" s="44">
        <v>6995.9557000000004</v>
      </c>
      <c r="AL214" s="44">
        <v>0</v>
      </c>
      <c r="AM214" s="44">
        <v>0</v>
      </c>
      <c r="AN214" s="44">
        <v>0</v>
      </c>
      <c r="AO214" s="44">
        <v>0</v>
      </c>
      <c r="AP214" s="44">
        <v>0</v>
      </c>
      <c r="AQ214" s="44">
        <v>0</v>
      </c>
      <c r="AR214" s="44">
        <v>0</v>
      </c>
      <c r="AS214" s="44">
        <v>0</v>
      </c>
      <c r="AT214" s="44">
        <v>722049.52519999992</v>
      </c>
      <c r="AU214" s="44">
        <v>308306.61242751038</v>
      </c>
      <c r="AV214" s="44">
        <v>145239.4957</v>
      </c>
      <c r="AW214" s="44">
        <v>205379.35517974023</v>
      </c>
      <c r="AX214" s="62">
        <v>1175595.6333275104</v>
      </c>
      <c r="AY214" s="62">
        <v>1168599.6776275104</v>
      </c>
      <c r="AZ214" s="62">
        <v>4610</v>
      </c>
      <c r="BA214" s="62">
        <v>931220</v>
      </c>
      <c r="BB214" s="62">
        <v>0</v>
      </c>
      <c r="BC214" s="62">
        <v>0</v>
      </c>
      <c r="BD214" s="62">
        <v>1175595.6333275104</v>
      </c>
      <c r="BE214" s="44">
        <v>1175595.6333275104</v>
      </c>
      <c r="BF214" s="44">
        <v>0</v>
      </c>
      <c r="BG214" s="62">
        <v>938215.95570000005</v>
      </c>
      <c r="BH214" s="62">
        <v>792976.46</v>
      </c>
      <c r="BI214" s="44">
        <v>1030356.1376275104</v>
      </c>
      <c r="BJ214" s="44">
        <v>5100.772958552031</v>
      </c>
      <c r="BK214" s="44">
        <v>5064.4503802955669</v>
      </c>
      <c r="BL214" s="45">
        <v>7.1720671600980892E-3</v>
      </c>
      <c r="BM214" s="45">
        <v>0</v>
      </c>
      <c r="BN214" s="44">
        <v>0</v>
      </c>
      <c r="BO214" s="62">
        <v>1175595.6333275104</v>
      </c>
      <c r="BP214" s="62">
        <v>5785.1469189480713</v>
      </c>
      <c r="BQ214" s="62" t="s">
        <v>92</v>
      </c>
      <c r="BR214" s="62">
        <v>5819.7803630074777</v>
      </c>
      <c r="BS214" s="53">
        <v>1.0262476020156619E-2</v>
      </c>
      <c r="BT214" s="44">
        <v>0</v>
      </c>
      <c r="BU214" s="44">
        <v>1175595.6333275104</v>
      </c>
      <c r="BV214" s="44">
        <v>0</v>
      </c>
      <c r="BW214" s="44">
        <v>1175595.6333275104</v>
      </c>
      <c r="BX214" s="44">
        <v>6995.9557000000004</v>
      </c>
      <c r="BY214" s="44">
        <v>1168599.6776275104</v>
      </c>
    </row>
    <row r="215" spans="1:77">
      <c r="A215">
        <v>0</v>
      </c>
      <c r="B215" s="60">
        <v>146701</v>
      </c>
      <c r="C215" s="60">
        <v>3302132</v>
      </c>
      <c r="D215" s="61" t="s">
        <v>922</v>
      </c>
      <c r="E215" s="52">
        <v>582</v>
      </c>
      <c r="F215" s="52">
        <v>582</v>
      </c>
      <c r="G215" s="52">
        <v>0</v>
      </c>
      <c r="H215" s="44">
        <v>2080360.5131999999</v>
      </c>
      <c r="I215" s="44">
        <v>0</v>
      </c>
      <c r="J215" s="44">
        <v>0</v>
      </c>
      <c r="K215" s="44">
        <v>123421.69489999993</v>
      </c>
      <c r="L215" s="44">
        <v>0</v>
      </c>
      <c r="M215" s="44">
        <v>215594.08840000004</v>
      </c>
      <c r="N215" s="44">
        <v>0</v>
      </c>
      <c r="O215" s="44">
        <v>1179.124</v>
      </c>
      <c r="P215" s="44">
        <v>17446.018300000018</v>
      </c>
      <c r="Q215" s="44">
        <v>79934.580100000079</v>
      </c>
      <c r="R215" s="44">
        <v>99773.971499999985</v>
      </c>
      <c r="S215" s="44">
        <v>62533.719600000142</v>
      </c>
      <c r="T215" s="44">
        <v>2729.5472000000018</v>
      </c>
      <c r="U215" s="44">
        <v>0</v>
      </c>
      <c r="V215" s="44">
        <v>0</v>
      </c>
      <c r="W215" s="44">
        <v>0</v>
      </c>
      <c r="X215" s="44">
        <v>0</v>
      </c>
      <c r="Y215" s="44">
        <v>0</v>
      </c>
      <c r="Z215" s="44">
        <v>0</v>
      </c>
      <c r="AA215" s="44">
        <v>130057.47310739302</v>
      </c>
      <c r="AB215" s="44">
        <v>0</v>
      </c>
      <c r="AC215" s="44">
        <v>263535.67982592277</v>
      </c>
      <c r="AD215" s="44">
        <v>0</v>
      </c>
      <c r="AE215" s="44">
        <v>5993.487697655175</v>
      </c>
      <c r="AF215" s="44">
        <v>0</v>
      </c>
      <c r="AG215" s="44">
        <v>138243.54</v>
      </c>
      <c r="AH215" s="44">
        <v>0</v>
      </c>
      <c r="AI215" s="44">
        <v>0</v>
      </c>
      <c r="AJ215" s="44">
        <v>0</v>
      </c>
      <c r="AK215" s="44">
        <v>5246.9642000000003</v>
      </c>
      <c r="AL215" s="44">
        <v>0</v>
      </c>
      <c r="AM215" s="44">
        <v>0</v>
      </c>
      <c r="AN215" s="44">
        <v>0</v>
      </c>
      <c r="AO215" s="44">
        <v>0</v>
      </c>
      <c r="AP215" s="44">
        <v>0</v>
      </c>
      <c r="AQ215" s="44">
        <v>0</v>
      </c>
      <c r="AR215" s="44">
        <v>0</v>
      </c>
      <c r="AS215" s="44">
        <v>0</v>
      </c>
      <c r="AT215" s="44">
        <v>2080360.5131999999</v>
      </c>
      <c r="AU215" s="44">
        <v>1002199.3846309712</v>
      </c>
      <c r="AV215" s="44">
        <v>143490.5042</v>
      </c>
      <c r="AW215" s="44">
        <v>668860.07748592284</v>
      </c>
      <c r="AX215" s="62">
        <v>3226050.4020309709</v>
      </c>
      <c r="AY215" s="62">
        <v>3220803.4378309711</v>
      </c>
      <c r="AZ215" s="62">
        <v>4610</v>
      </c>
      <c r="BA215" s="62">
        <v>2683020</v>
      </c>
      <c r="BB215" s="62">
        <v>0</v>
      </c>
      <c r="BC215" s="62">
        <v>0</v>
      </c>
      <c r="BD215" s="62">
        <v>3226050.4020309709</v>
      </c>
      <c r="BE215" s="44">
        <v>3226050.4020309709</v>
      </c>
      <c r="BF215" s="44">
        <v>0</v>
      </c>
      <c r="BG215" s="62">
        <v>2688266.9641999998</v>
      </c>
      <c r="BH215" s="62">
        <v>2544776.46</v>
      </c>
      <c r="BI215" s="44">
        <v>3082559.8978309711</v>
      </c>
      <c r="BJ215" s="44">
        <v>5296.4946698126651</v>
      </c>
      <c r="BK215" s="44">
        <v>5099.9948757469238</v>
      </c>
      <c r="BL215" s="45">
        <v>3.8529410098076373E-2</v>
      </c>
      <c r="BM215" s="45">
        <v>0</v>
      </c>
      <c r="BN215" s="44">
        <v>0</v>
      </c>
      <c r="BO215" s="62">
        <v>3226050.4020309709</v>
      </c>
      <c r="BP215" s="62">
        <v>5534.0265254827682</v>
      </c>
      <c r="BQ215" s="62" t="s">
        <v>92</v>
      </c>
      <c r="BR215" s="62">
        <v>5543.0419278882664</v>
      </c>
      <c r="BS215" s="53">
        <v>3.513633190924792E-2</v>
      </c>
      <c r="BT215" s="44">
        <v>0</v>
      </c>
      <c r="BU215" s="44">
        <v>3226050.4020309709</v>
      </c>
      <c r="BV215" s="44">
        <v>0</v>
      </c>
      <c r="BW215" s="44">
        <v>3226050.4020309709</v>
      </c>
      <c r="BX215" s="44">
        <v>5246.9642000000003</v>
      </c>
      <c r="BY215" s="44">
        <v>3220803.4378309711</v>
      </c>
    </row>
    <row r="216" spans="1:77">
      <c r="A216">
        <v>0</v>
      </c>
      <c r="B216" s="60">
        <v>139637</v>
      </c>
      <c r="C216" s="60">
        <v>3302136</v>
      </c>
      <c r="D216" s="61" t="s">
        <v>923</v>
      </c>
      <c r="E216" s="52">
        <v>437</v>
      </c>
      <c r="F216" s="52">
        <v>437</v>
      </c>
      <c r="G216" s="52">
        <v>0</v>
      </c>
      <c r="H216" s="44">
        <v>1562057.6361999998</v>
      </c>
      <c r="I216" s="44">
        <v>0</v>
      </c>
      <c r="J216" s="44">
        <v>0</v>
      </c>
      <c r="K216" s="44">
        <v>89001.30190000002</v>
      </c>
      <c r="L216" s="44">
        <v>0</v>
      </c>
      <c r="M216" s="44">
        <v>155523.97979999986</v>
      </c>
      <c r="N216" s="44">
        <v>0</v>
      </c>
      <c r="O216" s="44">
        <v>1886.5983999999994</v>
      </c>
      <c r="P216" s="44">
        <v>858.00089999999955</v>
      </c>
      <c r="Q216" s="44">
        <v>57606.485099999933</v>
      </c>
      <c r="R216" s="44">
        <v>15574.473599999994</v>
      </c>
      <c r="S216" s="44">
        <v>26873.995200000081</v>
      </c>
      <c r="T216" s="44">
        <v>67556.293199999913</v>
      </c>
      <c r="U216" s="44">
        <v>0</v>
      </c>
      <c r="V216" s="44">
        <v>0</v>
      </c>
      <c r="W216" s="44">
        <v>0</v>
      </c>
      <c r="X216" s="44">
        <v>0</v>
      </c>
      <c r="Y216" s="44">
        <v>0</v>
      </c>
      <c r="Z216" s="44">
        <v>0</v>
      </c>
      <c r="AA216" s="44">
        <v>44584.276783333349</v>
      </c>
      <c r="AB216" s="44">
        <v>0</v>
      </c>
      <c r="AC216" s="44">
        <v>152272.62059636178</v>
      </c>
      <c r="AD216" s="44">
        <v>0</v>
      </c>
      <c r="AE216" s="44">
        <v>0</v>
      </c>
      <c r="AF216" s="44">
        <v>0</v>
      </c>
      <c r="AG216" s="44">
        <v>138243.54</v>
      </c>
      <c r="AH216" s="44">
        <v>0</v>
      </c>
      <c r="AI216" s="44">
        <v>0</v>
      </c>
      <c r="AJ216" s="44">
        <v>0</v>
      </c>
      <c r="AK216" s="44">
        <v>6571.9561999999996</v>
      </c>
      <c r="AL216" s="44">
        <v>0</v>
      </c>
      <c r="AM216" s="44">
        <v>0</v>
      </c>
      <c r="AN216" s="44">
        <v>0</v>
      </c>
      <c r="AO216" s="44">
        <v>0</v>
      </c>
      <c r="AP216" s="44">
        <v>0</v>
      </c>
      <c r="AQ216" s="44">
        <v>0</v>
      </c>
      <c r="AR216" s="44">
        <v>0</v>
      </c>
      <c r="AS216" s="44">
        <v>0</v>
      </c>
      <c r="AT216" s="44">
        <v>1562057.6361999998</v>
      </c>
      <c r="AU216" s="44">
        <v>611738.02547969483</v>
      </c>
      <c r="AV216" s="44">
        <v>144815.49619999999</v>
      </c>
      <c r="AW216" s="44">
        <v>437816.06645636167</v>
      </c>
      <c r="AX216" s="62">
        <v>2318611.1578796944</v>
      </c>
      <c r="AY216" s="62">
        <v>2312039.2016796945</v>
      </c>
      <c r="AZ216" s="62">
        <v>4610</v>
      </c>
      <c r="BA216" s="62">
        <v>2014570</v>
      </c>
      <c r="BB216" s="62">
        <v>0</v>
      </c>
      <c r="BC216" s="62">
        <v>0</v>
      </c>
      <c r="BD216" s="62">
        <v>2318611.1578796944</v>
      </c>
      <c r="BE216" s="44">
        <v>2318611.1578796948</v>
      </c>
      <c r="BF216" s="44">
        <v>0</v>
      </c>
      <c r="BG216" s="62">
        <v>2021141.9561999999</v>
      </c>
      <c r="BH216" s="62">
        <v>1876326.46</v>
      </c>
      <c r="BI216" s="44">
        <v>2173795.6616796944</v>
      </c>
      <c r="BJ216" s="44">
        <v>4974.3607818757309</v>
      </c>
      <c r="BK216" s="44">
        <v>4949.4037559090903</v>
      </c>
      <c r="BL216" s="45">
        <v>5.0424308052953865E-3</v>
      </c>
      <c r="BM216" s="45">
        <v>0</v>
      </c>
      <c r="BN216" s="44">
        <v>0</v>
      </c>
      <c r="BO216" s="62">
        <v>2318611.1578796944</v>
      </c>
      <c r="BP216" s="62">
        <v>5290.7075553311088</v>
      </c>
      <c r="BQ216" s="62" t="s">
        <v>92</v>
      </c>
      <c r="BR216" s="62">
        <v>5305.7463567041059</v>
      </c>
      <c r="BS216" s="53">
        <v>5.7960481337488989E-3</v>
      </c>
      <c r="BT216" s="44">
        <v>0</v>
      </c>
      <c r="BU216" s="44">
        <v>2318611.1578796944</v>
      </c>
      <c r="BV216" s="44">
        <v>0</v>
      </c>
      <c r="BW216" s="44">
        <v>2318611.1578796944</v>
      </c>
      <c r="BX216" s="44">
        <v>6571.9561999999996</v>
      </c>
      <c r="BY216" s="44">
        <v>2312039.2016796945</v>
      </c>
    </row>
    <row r="217" spans="1:77">
      <c r="A217">
        <v>0</v>
      </c>
      <c r="B217" s="60">
        <v>139904</v>
      </c>
      <c r="C217" s="60">
        <v>3302138</v>
      </c>
      <c r="D217" s="61" t="s">
        <v>924</v>
      </c>
      <c r="E217" s="52">
        <v>366</v>
      </c>
      <c r="F217" s="52">
        <v>366</v>
      </c>
      <c r="G217" s="52">
        <v>0</v>
      </c>
      <c r="H217" s="44">
        <v>1308267.9516</v>
      </c>
      <c r="I217" s="44">
        <v>0</v>
      </c>
      <c r="J217" s="44">
        <v>0</v>
      </c>
      <c r="K217" s="44">
        <v>77691.744199999957</v>
      </c>
      <c r="L217" s="44">
        <v>0</v>
      </c>
      <c r="M217" s="44">
        <v>132483.39020000008</v>
      </c>
      <c r="N217" s="44">
        <v>0</v>
      </c>
      <c r="O217" s="44">
        <v>8253.8679999999968</v>
      </c>
      <c r="P217" s="44">
        <v>17446.018300000032</v>
      </c>
      <c r="Q217" s="44">
        <v>16969.352200000023</v>
      </c>
      <c r="R217" s="44">
        <v>8273.9391000000014</v>
      </c>
      <c r="S217" s="44">
        <v>16021.035600000007</v>
      </c>
      <c r="T217" s="44">
        <v>1364.7736</v>
      </c>
      <c r="U217" s="44">
        <v>0</v>
      </c>
      <c r="V217" s="44">
        <v>0</v>
      </c>
      <c r="W217" s="44">
        <v>0</v>
      </c>
      <c r="X217" s="44">
        <v>0</v>
      </c>
      <c r="Y217" s="44">
        <v>0</v>
      </c>
      <c r="Z217" s="44">
        <v>0</v>
      </c>
      <c r="AA217" s="44">
        <v>70443.605842105273</v>
      </c>
      <c r="AB217" s="44">
        <v>0</v>
      </c>
      <c r="AC217" s="44">
        <v>183508.40367511366</v>
      </c>
      <c r="AD217" s="44">
        <v>0</v>
      </c>
      <c r="AE217" s="44">
        <v>28110.860991123194</v>
      </c>
      <c r="AF217" s="44">
        <v>0</v>
      </c>
      <c r="AG217" s="44">
        <v>138243.54</v>
      </c>
      <c r="AH217" s="44">
        <v>0</v>
      </c>
      <c r="AI217" s="44">
        <v>0</v>
      </c>
      <c r="AJ217" s="44">
        <v>0</v>
      </c>
      <c r="AK217" s="44">
        <v>4849.4665999999997</v>
      </c>
      <c r="AL217" s="44">
        <v>0</v>
      </c>
      <c r="AM217" s="44">
        <v>0</v>
      </c>
      <c r="AN217" s="44">
        <v>0</v>
      </c>
      <c r="AO217" s="44">
        <v>0</v>
      </c>
      <c r="AP217" s="44">
        <v>0</v>
      </c>
      <c r="AQ217" s="44">
        <v>0</v>
      </c>
      <c r="AR217" s="44">
        <v>0</v>
      </c>
      <c r="AS217" s="44">
        <v>0</v>
      </c>
      <c r="AT217" s="44">
        <v>1308267.9516</v>
      </c>
      <c r="AU217" s="44">
        <v>560566.99170834234</v>
      </c>
      <c r="AV217" s="44">
        <v>143093.00660000002</v>
      </c>
      <c r="AW217" s="44">
        <v>388173.86185511376</v>
      </c>
      <c r="AX217" s="62">
        <v>2011927.9499083422</v>
      </c>
      <c r="AY217" s="62">
        <v>2007078.4833083423</v>
      </c>
      <c r="AZ217" s="62">
        <v>4610</v>
      </c>
      <c r="BA217" s="62">
        <v>1687260</v>
      </c>
      <c r="BB217" s="62">
        <v>0</v>
      </c>
      <c r="BC217" s="62">
        <v>0</v>
      </c>
      <c r="BD217" s="62">
        <v>2011927.9499083422</v>
      </c>
      <c r="BE217" s="44">
        <v>2011927.9499083422</v>
      </c>
      <c r="BF217" s="44">
        <v>0</v>
      </c>
      <c r="BG217" s="62">
        <v>1692109.4665999999</v>
      </c>
      <c r="BH217" s="62">
        <v>1549016.46</v>
      </c>
      <c r="BI217" s="44">
        <v>1868834.9433083422</v>
      </c>
      <c r="BJ217" s="44">
        <v>5106.1064024818097</v>
      </c>
      <c r="BK217" s="44">
        <v>5113.3046901333328</v>
      </c>
      <c r="BL217" s="45">
        <v>-1.4077564486647792E-3</v>
      </c>
      <c r="BM217" s="45">
        <v>6.4077564486647795E-3</v>
      </c>
      <c r="BN217" s="44">
        <v>11991.920863401439</v>
      </c>
      <c r="BO217" s="62">
        <v>2023919.8707717436</v>
      </c>
      <c r="BP217" s="62">
        <v>5516.5858037479338</v>
      </c>
      <c r="BQ217" s="62" t="s">
        <v>92</v>
      </c>
      <c r="BR217" s="62">
        <v>5529.8357124911026</v>
      </c>
      <c r="BS217" s="53">
        <v>5.6131994136165986E-3</v>
      </c>
      <c r="BT217" s="44">
        <v>0</v>
      </c>
      <c r="BU217" s="44">
        <v>2023919.8707717436</v>
      </c>
      <c r="BV217" s="44">
        <v>0</v>
      </c>
      <c r="BW217" s="44">
        <v>2023919.8707717436</v>
      </c>
      <c r="BX217" s="44">
        <v>4849.4665999999997</v>
      </c>
      <c r="BY217" s="44">
        <v>2019070.4041717437</v>
      </c>
    </row>
    <row r="218" spans="1:77">
      <c r="A218">
        <v>0</v>
      </c>
      <c r="B218" s="60">
        <v>140159</v>
      </c>
      <c r="C218" s="60">
        <v>3302140</v>
      </c>
      <c r="D218" s="61" t="s">
        <v>925</v>
      </c>
      <c r="E218" s="52">
        <v>332</v>
      </c>
      <c r="F218" s="52">
        <v>332</v>
      </c>
      <c r="G218" s="52">
        <v>0</v>
      </c>
      <c r="H218" s="44">
        <v>1186734.8632</v>
      </c>
      <c r="I218" s="44">
        <v>0</v>
      </c>
      <c r="J218" s="44">
        <v>0</v>
      </c>
      <c r="K218" s="44">
        <v>113095.57699999995</v>
      </c>
      <c r="L218" s="44">
        <v>0</v>
      </c>
      <c r="M218" s="44">
        <v>197490.76799999992</v>
      </c>
      <c r="N218" s="44">
        <v>0</v>
      </c>
      <c r="O218" s="44">
        <v>3301.5472000000013</v>
      </c>
      <c r="P218" s="44">
        <v>2002.0021000000006</v>
      </c>
      <c r="Q218" s="44">
        <v>29026.52349999993</v>
      </c>
      <c r="R218" s="44">
        <v>7300.5345000000052</v>
      </c>
      <c r="S218" s="44">
        <v>50130.337199999958</v>
      </c>
      <c r="T218" s="44">
        <v>81886.415999999968</v>
      </c>
      <c r="U218" s="44">
        <v>0</v>
      </c>
      <c r="V218" s="44">
        <v>0</v>
      </c>
      <c r="W218" s="44">
        <v>0</v>
      </c>
      <c r="X218" s="44">
        <v>0</v>
      </c>
      <c r="Y218" s="44">
        <v>0</v>
      </c>
      <c r="Z218" s="44">
        <v>0</v>
      </c>
      <c r="AA218" s="44">
        <v>25341.459705923407</v>
      </c>
      <c r="AB218" s="44">
        <v>0</v>
      </c>
      <c r="AC218" s="44">
        <v>129945.28249852927</v>
      </c>
      <c r="AD218" s="44">
        <v>0</v>
      </c>
      <c r="AE218" s="44">
        <v>26088.048768000011</v>
      </c>
      <c r="AF218" s="44">
        <v>0</v>
      </c>
      <c r="AG218" s="44">
        <v>138243.54</v>
      </c>
      <c r="AH218" s="44">
        <v>0</v>
      </c>
      <c r="AI218" s="44">
        <v>0</v>
      </c>
      <c r="AJ218" s="44">
        <v>0</v>
      </c>
      <c r="AK218" s="44">
        <v>3630.4821999999999</v>
      </c>
      <c r="AL218" s="44">
        <v>0</v>
      </c>
      <c r="AM218" s="44">
        <v>0</v>
      </c>
      <c r="AN218" s="44">
        <v>0</v>
      </c>
      <c r="AO218" s="44">
        <v>0</v>
      </c>
      <c r="AP218" s="44">
        <v>0</v>
      </c>
      <c r="AQ218" s="44">
        <v>0</v>
      </c>
      <c r="AR218" s="44">
        <v>0</v>
      </c>
      <c r="AS218" s="44">
        <v>0</v>
      </c>
      <c r="AT218" s="44">
        <v>1186734.8632</v>
      </c>
      <c r="AU218" s="44">
        <v>665608.49647245242</v>
      </c>
      <c r="AV218" s="44">
        <v>141874.02220000001</v>
      </c>
      <c r="AW218" s="44">
        <v>431398.87840852921</v>
      </c>
      <c r="AX218" s="62">
        <v>1994217.3818724523</v>
      </c>
      <c r="AY218" s="62">
        <v>1990586.8996724524</v>
      </c>
      <c r="AZ218" s="62">
        <v>4610</v>
      </c>
      <c r="BA218" s="62">
        <v>1530520</v>
      </c>
      <c r="BB218" s="62">
        <v>0</v>
      </c>
      <c r="BC218" s="62">
        <v>0</v>
      </c>
      <c r="BD218" s="62">
        <v>1994217.3818724523</v>
      </c>
      <c r="BE218" s="44">
        <v>1994217.3818724523</v>
      </c>
      <c r="BF218" s="44">
        <v>0</v>
      </c>
      <c r="BG218" s="62">
        <v>1534150.4822</v>
      </c>
      <c r="BH218" s="62">
        <v>1392276.46</v>
      </c>
      <c r="BI218" s="44">
        <v>1852343.3596724523</v>
      </c>
      <c r="BJ218" s="44">
        <v>5579.3474688929291</v>
      </c>
      <c r="BK218" s="44">
        <v>5435.8698759643912</v>
      </c>
      <c r="BL218" s="45">
        <v>2.6394596670341226E-2</v>
      </c>
      <c r="BM218" s="45">
        <v>0</v>
      </c>
      <c r="BN218" s="44">
        <v>0</v>
      </c>
      <c r="BO218" s="62">
        <v>1994217.3818724523</v>
      </c>
      <c r="BP218" s="62">
        <v>5995.7436737122061</v>
      </c>
      <c r="BQ218" s="62" t="s">
        <v>92</v>
      </c>
      <c r="BR218" s="62">
        <v>6006.6788610616031</v>
      </c>
      <c r="BS218" s="53">
        <v>2.5020189116391034E-2</v>
      </c>
      <c r="BT218" s="44">
        <v>0</v>
      </c>
      <c r="BU218" s="44">
        <v>1994217.3818724523</v>
      </c>
      <c r="BV218" s="44">
        <v>0</v>
      </c>
      <c r="BW218" s="44">
        <v>1994217.3818724523</v>
      </c>
      <c r="BX218" s="44">
        <v>3630.4821999999999</v>
      </c>
      <c r="BY218" s="44">
        <v>1990586.8996724524</v>
      </c>
    </row>
    <row r="219" spans="1:77">
      <c r="A219">
        <v>0</v>
      </c>
      <c r="B219" s="60">
        <v>140161</v>
      </c>
      <c r="C219" s="60">
        <v>3302141</v>
      </c>
      <c r="D219" s="61" t="s">
        <v>926</v>
      </c>
      <c r="E219" s="52">
        <v>206</v>
      </c>
      <c r="F219" s="52">
        <v>206</v>
      </c>
      <c r="G219" s="52">
        <v>0</v>
      </c>
      <c r="H219" s="44">
        <v>736347.53559999994</v>
      </c>
      <c r="I219" s="44">
        <v>0</v>
      </c>
      <c r="J219" s="44">
        <v>0</v>
      </c>
      <c r="K219" s="44">
        <v>62940.147200000014</v>
      </c>
      <c r="L219" s="44">
        <v>0</v>
      </c>
      <c r="M219" s="44">
        <v>108619.92239999998</v>
      </c>
      <c r="N219" s="44">
        <v>0</v>
      </c>
      <c r="O219" s="44">
        <v>471.64960000000002</v>
      </c>
      <c r="P219" s="44">
        <v>1430.0015000000014</v>
      </c>
      <c r="Q219" s="44">
        <v>7591.5522999999994</v>
      </c>
      <c r="R219" s="44">
        <v>4380.3206999999993</v>
      </c>
      <c r="S219" s="44">
        <v>18605.073599999996</v>
      </c>
      <c r="T219" s="44">
        <v>91439.831200000015</v>
      </c>
      <c r="U219" s="44">
        <v>0</v>
      </c>
      <c r="V219" s="44">
        <v>0</v>
      </c>
      <c r="W219" s="44">
        <v>0</v>
      </c>
      <c r="X219" s="44">
        <v>0</v>
      </c>
      <c r="Y219" s="44">
        <v>0</v>
      </c>
      <c r="Z219" s="44">
        <v>0</v>
      </c>
      <c r="AA219" s="44">
        <v>44789.996333333329</v>
      </c>
      <c r="AB219" s="44">
        <v>0</v>
      </c>
      <c r="AC219" s="44">
        <v>95037.556350326049</v>
      </c>
      <c r="AD219" s="44">
        <v>0</v>
      </c>
      <c r="AE219" s="44">
        <v>5517.993094243905</v>
      </c>
      <c r="AF219" s="44">
        <v>0</v>
      </c>
      <c r="AG219" s="44">
        <v>138243.54</v>
      </c>
      <c r="AH219" s="44">
        <v>0</v>
      </c>
      <c r="AI219" s="44">
        <v>0</v>
      </c>
      <c r="AJ219" s="44">
        <v>0</v>
      </c>
      <c r="AK219" s="44">
        <v>7154.9567999999999</v>
      </c>
      <c r="AL219" s="44">
        <v>0</v>
      </c>
      <c r="AM219" s="44">
        <v>0</v>
      </c>
      <c r="AN219" s="44">
        <v>0</v>
      </c>
      <c r="AO219" s="44">
        <v>0</v>
      </c>
      <c r="AP219" s="44">
        <v>0</v>
      </c>
      <c r="AQ219" s="44">
        <v>0</v>
      </c>
      <c r="AR219" s="44">
        <v>0</v>
      </c>
      <c r="AS219" s="44">
        <v>0</v>
      </c>
      <c r="AT219" s="44">
        <v>736347.53559999994</v>
      </c>
      <c r="AU219" s="44">
        <v>440824.04427790333</v>
      </c>
      <c r="AV219" s="44">
        <v>145398.49680000002</v>
      </c>
      <c r="AW219" s="44">
        <v>279594.18238032609</v>
      </c>
      <c r="AX219" s="62">
        <v>1322570.0766779033</v>
      </c>
      <c r="AY219" s="62">
        <v>1315415.1198779033</v>
      </c>
      <c r="AZ219" s="62">
        <v>4610</v>
      </c>
      <c r="BA219" s="62">
        <v>949660</v>
      </c>
      <c r="BB219" s="62">
        <v>0</v>
      </c>
      <c r="BC219" s="62">
        <v>0</v>
      </c>
      <c r="BD219" s="62">
        <v>1322570.0766779033</v>
      </c>
      <c r="BE219" s="44">
        <v>1322570.0766779031</v>
      </c>
      <c r="BF219" s="44">
        <v>0</v>
      </c>
      <c r="BG219" s="62">
        <v>956814.95680000004</v>
      </c>
      <c r="BH219" s="62">
        <v>811416.46</v>
      </c>
      <c r="BI219" s="44">
        <v>1177171.5798779032</v>
      </c>
      <c r="BJ219" s="44">
        <v>5714.4251450383654</v>
      </c>
      <c r="BK219" s="44">
        <v>5788.9433559405934</v>
      </c>
      <c r="BL219" s="45">
        <v>-1.287250648700124E-2</v>
      </c>
      <c r="BM219" s="45">
        <v>1.7872506487001241E-2</v>
      </c>
      <c r="BN219" s="44">
        <v>21313.363102477786</v>
      </c>
      <c r="BO219" s="62">
        <v>1343883.439780381</v>
      </c>
      <c r="BP219" s="62">
        <v>6488.9732183513643</v>
      </c>
      <c r="BQ219" s="62" t="s">
        <v>92</v>
      </c>
      <c r="BR219" s="62">
        <v>6523.706018351364</v>
      </c>
      <c r="BS219" s="53">
        <v>5.0748234389321745E-3</v>
      </c>
      <c r="BT219" s="44">
        <v>0</v>
      </c>
      <c r="BU219" s="44">
        <v>1343883.439780381</v>
      </c>
      <c r="BV219" s="44">
        <v>0</v>
      </c>
      <c r="BW219" s="44">
        <v>1343883.439780381</v>
      </c>
      <c r="BX219" s="44">
        <v>7154.9567999999999</v>
      </c>
      <c r="BY219" s="44">
        <v>1336728.482980381</v>
      </c>
    </row>
    <row r="220" spans="1:77">
      <c r="A220">
        <v>0</v>
      </c>
      <c r="B220" s="60">
        <v>140656</v>
      </c>
      <c r="C220" s="60">
        <v>3302144</v>
      </c>
      <c r="D220" s="61" t="s">
        <v>927</v>
      </c>
      <c r="E220" s="52">
        <v>605</v>
      </c>
      <c r="F220" s="52">
        <v>605</v>
      </c>
      <c r="G220" s="52">
        <v>0</v>
      </c>
      <c r="H220" s="44">
        <v>2162574.0729999999</v>
      </c>
      <c r="I220" s="44">
        <v>0</v>
      </c>
      <c r="J220" s="44">
        <v>0</v>
      </c>
      <c r="K220" s="44">
        <v>134239.5327000001</v>
      </c>
      <c r="L220" s="44">
        <v>0</v>
      </c>
      <c r="M220" s="44">
        <v>228760.13960000005</v>
      </c>
      <c r="N220" s="44">
        <v>0</v>
      </c>
      <c r="O220" s="44">
        <v>1886.5984000000046</v>
      </c>
      <c r="P220" s="44">
        <v>8294.0087000000058</v>
      </c>
      <c r="Q220" s="44">
        <v>143792.93180000011</v>
      </c>
      <c r="R220" s="44">
        <v>95393.650799999901</v>
      </c>
      <c r="S220" s="44">
        <v>17571.458399999992</v>
      </c>
      <c r="T220" s="44">
        <v>3411.9340000000025</v>
      </c>
      <c r="U220" s="44">
        <v>0</v>
      </c>
      <c r="V220" s="44">
        <v>0</v>
      </c>
      <c r="W220" s="44">
        <v>0</v>
      </c>
      <c r="X220" s="44">
        <v>0</v>
      </c>
      <c r="Y220" s="44">
        <v>0</v>
      </c>
      <c r="Z220" s="44">
        <v>0</v>
      </c>
      <c r="AA220" s="44">
        <v>159201.2864444443</v>
      </c>
      <c r="AB220" s="44">
        <v>0</v>
      </c>
      <c r="AC220" s="44">
        <v>221841.97764243031</v>
      </c>
      <c r="AD220" s="44">
        <v>0</v>
      </c>
      <c r="AE220" s="44">
        <v>10308.054719999976</v>
      </c>
      <c r="AF220" s="44">
        <v>0</v>
      </c>
      <c r="AG220" s="44">
        <v>138243.54</v>
      </c>
      <c r="AH220" s="44">
        <v>0</v>
      </c>
      <c r="AI220" s="44">
        <v>0</v>
      </c>
      <c r="AJ220" s="44">
        <v>0</v>
      </c>
      <c r="AK220" s="44">
        <v>4796.4731000000002</v>
      </c>
      <c r="AL220" s="44">
        <v>0</v>
      </c>
      <c r="AM220" s="44">
        <v>0</v>
      </c>
      <c r="AN220" s="44">
        <v>0</v>
      </c>
      <c r="AO220" s="44">
        <v>0</v>
      </c>
      <c r="AP220" s="44">
        <v>0</v>
      </c>
      <c r="AQ220" s="44">
        <v>0</v>
      </c>
      <c r="AR220" s="44">
        <v>0</v>
      </c>
      <c r="AS220" s="44">
        <v>0</v>
      </c>
      <c r="AT220" s="44">
        <v>2162574.0729999999</v>
      </c>
      <c r="AU220" s="44">
        <v>1024701.5732068749</v>
      </c>
      <c r="AV220" s="44">
        <v>143040.01310000001</v>
      </c>
      <c r="AW220" s="44">
        <v>646645.80849243037</v>
      </c>
      <c r="AX220" s="62">
        <v>3330315.659306875</v>
      </c>
      <c r="AY220" s="62">
        <v>3325519.1862068749</v>
      </c>
      <c r="AZ220" s="62">
        <v>4610</v>
      </c>
      <c r="BA220" s="62">
        <v>2789050</v>
      </c>
      <c r="BB220" s="62">
        <v>0</v>
      </c>
      <c r="BC220" s="62">
        <v>0</v>
      </c>
      <c r="BD220" s="62">
        <v>3330315.659306875</v>
      </c>
      <c r="BE220" s="44">
        <v>3330315.6593068745</v>
      </c>
      <c r="BF220" s="44">
        <v>0</v>
      </c>
      <c r="BG220" s="62">
        <v>2793846.4731000001</v>
      </c>
      <c r="BH220" s="62">
        <v>2650806.46</v>
      </c>
      <c r="BI220" s="44">
        <v>3187275.6462068749</v>
      </c>
      <c r="BJ220" s="44">
        <v>5268.2242086064043</v>
      </c>
      <c r="BK220" s="44">
        <v>5163.6648797054013</v>
      </c>
      <c r="BL220" s="45">
        <v>2.0249053983334483E-2</v>
      </c>
      <c r="BM220" s="45">
        <v>0</v>
      </c>
      <c r="BN220" s="44">
        <v>0</v>
      </c>
      <c r="BO220" s="62">
        <v>3330315.659306875</v>
      </c>
      <c r="BP220" s="62">
        <v>5496.7259276146697</v>
      </c>
      <c r="BQ220" s="62" t="s">
        <v>92</v>
      </c>
      <c r="BR220" s="62">
        <v>5504.6539823254134</v>
      </c>
      <c r="BS220" s="53">
        <v>1.9136551017440384E-2</v>
      </c>
      <c r="BT220" s="44">
        <v>0</v>
      </c>
      <c r="BU220" s="44">
        <v>3330315.659306875</v>
      </c>
      <c r="BV220" s="44">
        <v>0</v>
      </c>
      <c r="BW220" s="44">
        <v>3330315.659306875</v>
      </c>
      <c r="BX220" s="44">
        <v>4796.4731000000002</v>
      </c>
      <c r="BY220" s="44">
        <v>3325519.1862068749</v>
      </c>
    </row>
    <row r="221" spans="1:77">
      <c r="A221">
        <v>0</v>
      </c>
      <c r="B221" s="60">
        <v>141206</v>
      </c>
      <c r="C221" s="60">
        <v>3302145</v>
      </c>
      <c r="D221" s="61" t="s">
        <v>928</v>
      </c>
      <c r="E221" s="52">
        <v>241</v>
      </c>
      <c r="F221" s="52">
        <v>241</v>
      </c>
      <c r="G221" s="52">
        <v>0</v>
      </c>
      <c r="H221" s="44">
        <v>861455.12659999996</v>
      </c>
      <c r="I221" s="44">
        <v>0</v>
      </c>
      <c r="J221" s="44">
        <v>0</v>
      </c>
      <c r="K221" s="44">
        <v>31470.073600000036</v>
      </c>
      <c r="L221" s="44">
        <v>0</v>
      </c>
      <c r="M221" s="44">
        <v>54309.961200000049</v>
      </c>
      <c r="N221" s="44">
        <v>0</v>
      </c>
      <c r="O221" s="44">
        <v>4009.0215999999987</v>
      </c>
      <c r="P221" s="44">
        <v>1716.0018000000016</v>
      </c>
      <c r="Q221" s="44">
        <v>0</v>
      </c>
      <c r="R221" s="44">
        <v>7787.236799999996</v>
      </c>
      <c r="S221" s="44">
        <v>2584.0380000000023</v>
      </c>
      <c r="T221" s="44">
        <v>4776.7076000000052</v>
      </c>
      <c r="U221" s="44">
        <v>0</v>
      </c>
      <c r="V221" s="44">
        <v>0</v>
      </c>
      <c r="W221" s="44">
        <v>0</v>
      </c>
      <c r="X221" s="44">
        <v>0</v>
      </c>
      <c r="Y221" s="44">
        <v>0</v>
      </c>
      <c r="Z221" s="44">
        <v>0</v>
      </c>
      <c r="AA221" s="44">
        <v>24274.906900000027</v>
      </c>
      <c r="AB221" s="44">
        <v>0</v>
      </c>
      <c r="AC221" s="44">
        <v>63879.274541230807</v>
      </c>
      <c r="AD221" s="44">
        <v>0</v>
      </c>
      <c r="AE221" s="44">
        <v>0</v>
      </c>
      <c r="AF221" s="44">
        <v>0</v>
      </c>
      <c r="AG221" s="44">
        <v>138243.54</v>
      </c>
      <c r="AH221" s="44">
        <v>0</v>
      </c>
      <c r="AI221" s="44">
        <v>0</v>
      </c>
      <c r="AJ221" s="44">
        <v>0</v>
      </c>
      <c r="AK221" s="44">
        <v>6147.9669999999996</v>
      </c>
      <c r="AL221" s="44">
        <v>0</v>
      </c>
      <c r="AM221" s="44">
        <v>0</v>
      </c>
      <c r="AN221" s="44">
        <v>0</v>
      </c>
      <c r="AO221" s="44">
        <v>0</v>
      </c>
      <c r="AP221" s="44">
        <v>0</v>
      </c>
      <c r="AQ221" s="44">
        <v>0</v>
      </c>
      <c r="AR221" s="44">
        <v>0</v>
      </c>
      <c r="AS221" s="44">
        <v>0</v>
      </c>
      <c r="AT221" s="44">
        <v>861455.12659999996</v>
      </c>
      <c r="AU221" s="44">
        <v>194807.22204123091</v>
      </c>
      <c r="AV221" s="44">
        <v>144391.50700000001</v>
      </c>
      <c r="AW221" s="44">
        <v>160278.55117123085</v>
      </c>
      <c r="AX221" s="62">
        <v>1200653.8556412309</v>
      </c>
      <c r="AY221" s="62">
        <v>1194505.888641231</v>
      </c>
      <c r="AZ221" s="62">
        <v>4610</v>
      </c>
      <c r="BA221" s="62">
        <v>1111010</v>
      </c>
      <c r="BB221" s="62">
        <v>0</v>
      </c>
      <c r="BC221" s="62">
        <v>0</v>
      </c>
      <c r="BD221" s="62">
        <v>1200653.8556412309</v>
      </c>
      <c r="BE221" s="44">
        <v>1200653.8556412307</v>
      </c>
      <c r="BF221" s="44">
        <v>0</v>
      </c>
      <c r="BG221" s="62">
        <v>1117157.9669999999</v>
      </c>
      <c r="BH221" s="62">
        <v>972766.46</v>
      </c>
      <c r="BI221" s="44">
        <v>1056262.348641231</v>
      </c>
      <c r="BJ221" s="44">
        <v>4382.8313221627841</v>
      </c>
      <c r="BK221" s="44">
        <v>4407.1613759336096</v>
      </c>
      <c r="BL221" s="45">
        <v>-5.520572471815032E-3</v>
      </c>
      <c r="BM221" s="45">
        <v>1.0520572471815032E-2</v>
      </c>
      <c r="BN221" s="44">
        <v>11174.172416768957</v>
      </c>
      <c r="BO221" s="62">
        <v>1211828.0280579999</v>
      </c>
      <c r="BP221" s="62">
        <v>5002.8218301161824</v>
      </c>
      <c r="BQ221" s="62" t="s">
        <v>92</v>
      </c>
      <c r="BR221" s="62">
        <v>5028.3320666307054</v>
      </c>
      <c r="BS221" s="53">
        <v>5.6445465243566417E-3</v>
      </c>
      <c r="BT221" s="44">
        <v>0</v>
      </c>
      <c r="BU221" s="44">
        <v>1211828.0280579999</v>
      </c>
      <c r="BV221" s="44">
        <v>0</v>
      </c>
      <c r="BW221" s="44">
        <v>1211828.0280579999</v>
      </c>
      <c r="BX221" s="44">
        <v>6147.9669999999996</v>
      </c>
      <c r="BY221" s="44">
        <v>1205680.061058</v>
      </c>
    </row>
    <row r="222" spans="1:77">
      <c r="A222">
        <v>0</v>
      </c>
      <c r="B222" s="60">
        <v>141319</v>
      </c>
      <c r="C222" s="60">
        <v>3302146</v>
      </c>
      <c r="D222" s="61" t="s">
        <v>929</v>
      </c>
      <c r="E222" s="52">
        <v>562</v>
      </c>
      <c r="F222" s="52">
        <v>562</v>
      </c>
      <c r="G222" s="52">
        <v>0</v>
      </c>
      <c r="H222" s="44">
        <v>2008870.4611999998</v>
      </c>
      <c r="I222" s="44">
        <v>0</v>
      </c>
      <c r="J222" s="44">
        <v>0</v>
      </c>
      <c r="K222" s="44">
        <v>151449.72920000015</v>
      </c>
      <c r="L222" s="44">
        <v>0</v>
      </c>
      <c r="M222" s="44">
        <v>255915.12020000024</v>
      </c>
      <c r="N222" s="44">
        <v>0</v>
      </c>
      <c r="O222" s="44">
        <v>1181.2258253119428</v>
      </c>
      <c r="P222" s="44">
        <v>9454.8334470588215</v>
      </c>
      <c r="Q222" s="44">
        <v>83208.571356149623</v>
      </c>
      <c r="R222" s="44">
        <v>108240.50937112303</v>
      </c>
      <c r="S222" s="44">
        <v>44524.679007486506</v>
      </c>
      <c r="T222" s="44">
        <v>4101.6190545454547</v>
      </c>
      <c r="U222" s="44">
        <v>0</v>
      </c>
      <c r="V222" s="44">
        <v>0</v>
      </c>
      <c r="W222" s="44">
        <v>0</v>
      </c>
      <c r="X222" s="44">
        <v>0</v>
      </c>
      <c r="Y222" s="44">
        <v>0</v>
      </c>
      <c r="Z222" s="44">
        <v>0</v>
      </c>
      <c r="AA222" s="44">
        <v>148979.98618658775</v>
      </c>
      <c r="AB222" s="44">
        <v>0</v>
      </c>
      <c r="AC222" s="44">
        <v>264733.39150377305</v>
      </c>
      <c r="AD222" s="44">
        <v>0</v>
      </c>
      <c r="AE222" s="44">
        <v>24353.983488000027</v>
      </c>
      <c r="AF222" s="44">
        <v>0</v>
      </c>
      <c r="AG222" s="44">
        <v>138243.54</v>
      </c>
      <c r="AH222" s="44">
        <v>0</v>
      </c>
      <c r="AI222" s="44">
        <v>0</v>
      </c>
      <c r="AJ222" s="44">
        <v>65088.546060819717</v>
      </c>
      <c r="AK222" s="44">
        <v>3842.4767999999999</v>
      </c>
      <c r="AL222" s="44">
        <v>0</v>
      </c>
      <c r="AM222" s="44">
        <v>0</v>
      </c>
      <c r="AN222" s="44">
        <v>0</v>
      </c>
      <c r="AO222" s="44">
        <v>0</v>
      </c>
      <c r="AP222" s="44">
        <v>0</v>
      </c>
      <c r="AQ222" s="44">
        <v>0</v>
      </c>
      <c r="AR222" s="44">
        <v>0</v>
      </c>
      <c r="AS222" s="44">
        <v>0</v>
      </c>
      <c r="AT222" s="44">
        <v>2008870.4611999998</v>
      </c>
      <c r="AU222" s="44">
        <v>1096143.6486400366</v>
      </c>
      <c r="AV222" s="44">
        <v>207174.56286081974</v>
      </c>
      <c r="AW222" s="44">
        <v>694215.05829461094</v>
      </c>
      <c r="AX222" s="62">
        <v>3312188.6727008559</v>
      </c>
      <c r="AY222" s="62">
        <v>3243257.6498400364</v>
      </c>
      <c r="AZ222" s="62">
        <v>4610</v>
      </c>
      <c r="BA222" s="62">
        <v>2590820</v>
      </c>
      <c r="BB222" s="62">
        <v>0</v>
      </c>
      <c r="BC222" s="62">
        <v>0</v>
      </c>
      <c r="BD222" s="62">
        <v>3312188.6727008559</v>
      </c>
      <c r="BE222" s="44">
        <v>3312188.6727008559</v>
      </c>
      <c r="BF222" s="44">
        <v>0</v>
      </c>
      <c r="BG222" s="62">
        <v>2659751.0228608195</v>
      </c>
      <c r="BH222" s="62">
        <v>2517665.0060608196</v>
      </c>
      <c r="BI222" s="44">
        <v>3170102.655900856</v>
      </c>
      <c r="BJ222" s="44">
        <v>5640.7520567630891</v>
      </c>
      <c r="BK222" s="44">
        <v>5494.2843306896548</v>
      </c>
      <c r="BL222" s="45">
        <v>2.6658199186253131E-2</v>
      </c>
      <c r="BM222" s="45">
        <v>0</v>
      </c>
      <c r="BN222" s="44">
        <v>0</v>
      </c>
      <c r="BO222" s="62">
        <v>3312188.6727008559</v>
      </c>
      <c r="BP222" s="62">
        <v>5770.9210851246198</v>
      </c>
      <c r="BQ222" s="62" t="s">
        <v>92</v>
      </c>
      <c r="BR222" s="62">
        <v>5893.574150713267</v>
      </c>
      <c r="BS222" s="53">
        <v>2.6231866787031821E-2</v>
      </c>
      <c r="BT222" s="44">
        <v>0</v>
      </c>
      <c r="BU222" s="44">
        <v>3312188.6727008559</v>
      </c>
      <c r="BV222" s="44">
        <v>0</v>
      </c>
      <c r="BW222" s="44">
        <v>3312188.6727008559</v>
      </c>
      <c r="BX222" s="44">
        <v>3842.4767999999999</v>
      </c>
      <c r="BY222" s="44">
        <v>3308346.1959008561</v>
      </c>
    </row>
    <row r="223" spans="1:77">
      <c r="A223">
        <v>0</v>
      </c>
      <c r="B223" s="60">
        <v>141320</v>
      </c>
      <c r="C223" s="60">
        <v>3302152</v>
      </c>
      <c r="D223" s="61" t="s">
        <v>930</v>
      </c>
      <c r="E223" s="52">
        <v>340</v>
      </c>
      <c r="F223" s="52">
        <v>340</v>
      </c>
      <c r="G223" s="52">
        <v>0</v>
      </c>
      <c r="H223" s="44">
        <v>1215330.8839999998</v>
      </c>
      <c r="I223" s="44">
        <v>0</v>
      </c>
      <c r="J223" s="44">
        <v>0</v>
      </c>
      <c r="K223" s="44">
        <v>97852.260100000029</v>
      </c>
      <c r="L223" s="44">
        <v>0</v>
      </c>
      <c r="M223" s="44">
        <v>164575.63999999998</v>
      </c>
      <c r="N223" s="44">
        <v>0</v>
      </c>
      <c r="O223" s="44">
        <v>1414.9487999999992</v>
      </c>
      <c r="P223" s="44">
        <v>4862.0050999999994</v>
      </c>
      <c r="Q223" s="44">
        <v>16522.790300000044</v>
      </c>
      <c r="R223" s="44">
        <v>49643.634599999998</v>
      </c>
      <c r="S223" s="44">
        <v>78554.755200000043</v>
      </c>
      <c r="T223" s="44">
        <v>5459.0944000000036</v>
      </c>
      <c r="U223" s="44">
        <v>0</v>
      </c>
      <c r="V223" s="44">
        <v>0</v>
      </c>
      <c r="W223" s="44">
        <v>0</v>
      </c>
      <c r="X223" s="44">
        <v>0</v>
      </c>
      <c r="Y223" s="44">
        <v>0</v>
      </c>
      <c r="Z223" s="44">
        <v>0</v>
      </c>
      <c r="AA223" s="44">
        <v>27420.160617940281</v>
      </c>
      <c r="AB223" s="44">
        <v>0</v>
      </c>
      <c r="AC223" s="44">
        <v>106324.88349540226</v>
      </c>
      <c r="AD223" s="44">
        <v>0</v>
      </c>
      <c r="AE223" s="44">
        <v>12138.45696000001</v>
      </c>
      <c r="AF223" s="44">
        <v>0</v>
      </c>
      <c r="AG223" s="44">
        <v>138243.54</v>
      </c>
      <c r="AH223" s="44">
        <v>0</v>
      </c>
      <c r="AI223" s="44">
        <v>0</v>
      </c>
      <c r="AJ223" s="44">
        <v>0</v>
      </c>
      <c r="AK223" s="44">
        <v>3709.9776000000002</v>
      </c>
      <c r="AL223" s="44">
        <v>0</v>
      </c>
      <c r="AM223" s="44">
        <v>0</v>
      </c>
      <c r="AN223" s="44">
        <v>0</v>
      </c>
      <c r="AO223" s="44">
        <v>0</v>
      </c>
      <c r="AP223" s="44">
        <v>0</v>
      </c>
      <c r="AQ223" s="44">
        <v>0</v>
      </c>
      <c r="AR223" s="44">
        <v>0</v>
      </c>
      <c r="AS223" s="44">
        <v>0</v>
      </c>
      <c r="AT223" s="44">
        <v>1215330.8839999998</v>
      </c>
      <c r="AU223" s="44">
        <v>564768.62957334274</v>
      </c>
      <c r="AV223" s="44">
        <v>141953.51760000002</v>
      </c>
      <c r="AW223" s="44">
        <v>376533.99194540235</v>
      </c>
      <c r="AX223" s="62">
        <v>1922053.0311733424</v>
      </c>
      <c r="AY223" s="62">
        <v>1918343.0535733423</v>
      </c>
      <c r="AZ223" s="62">
        <v>4610</v>
      </c>
      <c r="BA223" s="62">
        <v>1567400</v>
      </c>
      <c r="BB223" s="62">
        <v>0</v>
      </c>
      <c r="BC223" s="62">
        <v>0</v>
      </c>
      <c r="BD223" s="62">
        <v>1922053.0311733424</v>
      </c>
      <c r="BE223" s="44">
        <v>1922053.0311733424</v>
      </c>
      <c r="BF223" s="44">
        <v>0</v>
      </c>
      <c r="BG223" s="62">
        <v>1571109.9776000001</v>
      </c>
      <c r="BH223" s="62">
        <v>1429156.46</v>
      </c>
      <c r="BI223" s="44">
        <v>1780099.5135733422</v>
      </c>
      <c r="BJ223" s="44">
        <v>5235.5868046274772</v>
      </c>
      <c r="BK223" s="44">
        <v>5060.0863338368581</v>
      </c>
      <c r="BL223" s="45">
        <v>3.4683295740834577E-2</v>
      </c>
      <c r="BM223" s="45">
        <v>0</v>
      </c>
      <c r="BN223" s="44">
        <v>0</v>
      </c>
      <c r="BO223" s="62">
        <v>1922053.0311733424</v>
      </c>
      <c r="BP223" s="62">
        <v>5642.1854516863004</v>
      </c>
      <c r="BQ223" s="62" t="s">
        <v>92</v>
      </c>
      <c r="BR223" s="62">
        <v>5653.0971505098305</v>
      </c>
      <c r="BS223" s="53">
        <v>2.9893552782635835E-2</v>
      </c>
      <c r="BT223" s="44">
        <v>0</v>
      </c>
      <c r="BU223" s="44">
        <v>1922053.0311733424</v>
      </c>
      <c r="BV223" s="44">
        <v>0</v>
      </c>
      <c r="BW223" s="44">
        <v>1922053.0311733424</v>
      </c>
      <c r="BX223" s="44">
        <v>3709.9776000000002</v>
      </c>
      <c r="BY223" s="44">
        <v>1918343.0535733423</v>
      </c>
    </row>
    <row r="224" spans="1:77">
      <c r="A224">
        <v>0</v>
      </c>
      <c r="B224" s="60">
        <v>141669</v>
      </c>
      <c r="C224" s="60">
        <v>3302154</v>
      </c>
      <c r="D224" s="61" t="s">
        <v>931</v>
      </c>
      <c r="E224" s="52">
        <v>193</v>
      </c>
      <c r="F224" s="52">
        <v>193</v>
      </c>
      <c r="G224" s="52">
        <v>0</v>
      </c>
      <c r="H224" s="44">
        <v>689879.00179999997</v>
      </c>
      <c r="I224" s="44">
        <v>0</v>
      </c>
      <c r="J224" s="44">
        <v>0</v>
      </c>
      <c r="K224" s="44">
        <v>39829.311899999957</v>
      </c>
      <c r="L224" s="44">
        <v>0</v>
      </c>
      <c r="M224" s="44">
        <v>86402.210999999981</v>
      </c>
      <c r="N224" s="44">
        <v>0</v>
      </c>
      <c r="O224" s="44">
        <v>5895.6200000000144</v>
      </c>
      <c r="P224" s="44">
        <v>1430.0014999999978</v>
      </c>
      <c r="Q224" s="44">
        <v>2232.8094999999967</v>
      </c>
      <c r="R224" s="44">
        <v>23848.412699999968</v>
      </c>
      <c r="S224" s="44">
        <v>36176.532000000028</v>
      </c>
      <c r="T224" s="44">
        <v>4776.7076000000043</v>
      </c>
      <c r="U224" s="44">
        <v>0</v>
      </c>
      <c r="V224" s="44">
        <v>0</v>
      </c>
      <c r="W224" s="44">
        <v>0</v>
      </c>
      <c r="X224" s="44">
        <v>0</v>
      </c>
      <c r="Y224" s="44">
        <v>0</v>
      </c>
      <c r="Z224" s="44">
        <v>0</v>
      </c>
      <c r="AA224" s="44">
        <v>15369.606579532145</v>
      </c>
      <c r="AB224" s="44">
        <v>0</v>
      </c>
      <c r="AC224" s="44">
        <v>51760.891232686467</v>
      </c>
      <c r="AD224" s="44">
        <v>0</v>
      </c>
      <c r="AE224" s="44">
        <v>15818.528832000025</v>
      </c>
      <c r="AF224" s="44">
        <v>0</v>
      </c>
      <c r="AG224" s="44">
        <v>138243.54</v>
      </c>
      <c r="AH224" s="44">
        <v>0</v>
      </c>
      <c r="AI224" s="44">
        <v>0</v>
      </c>
      <c r="AJ224" s="44">
        <v>0</v>
      </c>
      <c r="AK224" s="44">
        <v>3179.9807999999998</v>
      </c>
      <c r="AL224" s="44">
        <v>0</v>
      </c>
      <c r="AM224" s="44">
        <v>0</v>
      </c>
      <c r="AN224" s="44">
        <v>0</v>
      </c>
      <c r="AO224" s="44">
        <v>0</v>
      </c>
      <c r="AP224" s="44">
        <v>0</v>
      </c>
      <c r="AQ224" s="44">
        <v>0</v>
      </c>
      <c r="AR224" s="44">
        <v>0</v>
      </c>
      <c r="AS224" s="44">
        <v>0</v>
      </c>
      <c r="AT224" s="44">
        <v>689879.00179999997</v>
      </c>
      <c r="AU224" s="44">
        <v>283540.63284421858</v>
      </c>
      <c r="AV224" s="44">
        <v>141423.5208</v>
      </c>
      <c r="AW224" s="44">
        <v>186550.64442268643</v>
      </c>
      <c r="AX224" s="62">
        <v>1114843.1554442185</v>
      </c>
      <c r="AY224" s="62">
        <v>1111663.1746442185</v>
      </c>
      <c r="AZ224" s="62">
        <v>4610</v>
      </c>
      <c r="BA224" s="62">
        <v>889730</v>
      </c>
      <c r="BB224" s="62">
        <v>0</v>
      </c>
      <c r="BC224" s="62">
        <v>0</v>
      </c>
      <c r="BD224" s="62">
        <v>1114843.1554442185</v>
      </c>
      <c r="BE224" s="44">
        <v>1114843.1554442185</v>
      </c>
      <c r="BF224" s="44">
        <v>0</v>
      </c>
      <c r="BG224" s="62">
        <v>892909.98080000002</v>
      </c>
      <c r="BH224" s="62">
        <v>751486.46</v>
      </c>
      <c r="BI224" s="44">
        <v>973419.63464421849</v>
      </c>
      <c r="BJ224" s="44">
        <v>5043.6250499700436</v>
      </c>
      <c r="BK224" s="44">
        <v>5012.1364566326538</v>
      </c>
      <c r="BL224" s="45">
        <v>6.2824692842750494E-3</v>
      </c>
      <c r="BM224" s="45">
        <v>0</v>
      </c>
      <c r="BN224" s="44">
        <v>0</v>
      </c>
      <c r="BO224" s="62">
        <v>1114843.1554442185</v>
      </c>
      <c r="BP224" s="62">
        <v>5759.9128219907698</v>
      </c>
      <c r="BQ224" s="62" t="s">
        <v>92</v>
      </c>
      <c r="BR224" s="62">
        <v>5776.3894064467286</v>
      </c>
      <c r="BS224" s="53">
        <v>7.0698692704482813E-3</v>
      </c>
      <c r="BT224" s="44">
        <v>0</v>
      </c>
      <c r="BU224" s="44">
        <v>1114843.1554442185</v>
      </c>
      <c r="BV224" s="44">
        <v>0</v>
      </c>
      <c r="BW224" s="44">
        <v>1114843.1554442185</v>
      </c>
      <c r="BX224" s="44">
        <v>3179.9807999999998</v>
      </c>
      <c r="BY224" s="44">
        <v>1111663.1746442185</v>
      </c>
    </row>
    <row r="225" spans="1:77">
      <c r="A225">
        <v>0</v>
      </c>
      <c r="B225" s="60">
        <v>143436</v>
      </c>
      <c r="C225" s="60">
        <v>3302156</v>
      </c>
      <c r="D225" s="61" t="s">
        <v>932</v>
      </c>
      <c r="E225" s="52">
        <v>149</v>
      </c>
      <c r="F225" s="52">
        <v>149</v>
      </c>
      <c r="G225" s="52">
        <v>0</v>
      </c>
      <c r="H225" s="44">
        <v>532600.88740000001</v>
      </c>
      <c r="I225" s="44">
        <v>0</v>
      </c>
      <c r="J225" s="44">
        <v>0</v>
      </c>
      <c r="K225" s="44">
        <v>37862.432300000008</v>
      </c>
      <c r="L225" s="44">
        <v>0</v>
      </c>
      <c r="M225" s="44">
        <v>65830.255999999965</v>
      </c>
      <c r="N225" s="44">
        <v>0</v>
      </c>
      <c r="O225" s="44">
        <v>707.47440000000131</v>
      </c>
      <c r="P225" s="44">
        <v>0</v>
      </c>
      <c r="Q225" s="44">
        <v>10270.92370000003</v>
      </c>
      <c r="R225" s="44">
        <v>2433.5115000000019</v>
      </c>
      <c r="S225" s="44">
        <v>52197.567600000024</v>
      </c>
      <c r="T225" s="44">
        <v>6141.4812000000011</v>
      </c>
      <c r="U225" s="44">
        <v>0</v>
      </c>
      <c r="V225" s="44">
        <v>0</v>
      </c>
      <c r="W225" s="44">
        <v>0</v>
      </c>
      <c r="X225" s="44">
        <v>0</v>
      </c>
      <c r="Y225" s="44">
        <v>0</v>
      </c>
      <c r="Z225" s="44">
        <v>0</v>
      </c>
      <c r="AA225" s="44">
        <v>27378.175065517255</v>
      </c>
      <c r="AB225" s="44">
        <v>0</v>
      </c>
      <c r="AC225" s="44">
        <v>73573.69554672901</v>
      </c>
      <c r="AD225" s="44">
        <v>0</v>
      </c>
      <c r="AE225" s="44">
        <v>57.802176000001751</v>
      </c>
      <c r="AF225" s="44">
        <v>0</v>
      </c>
      <c r="AG225" s="44">
        <v>138243.54</v>
      </c>
      <c r="AH225" s="44">
        <v>0</v>
      </c>
      <c r="AI225" s="44">
        <v>0</v>
      </c>
      <c r="AJ225" s="44">
        <v>0</v>
      </c>
      <c r="AK225" s="44">
        <v>4663.9739</v>
      </c>
      <c r="AL225" s="44">
        <v>0</v>
      </c>
      <c r="AM225" s="44">
        <v>0</v>
      </c>
      <c r="AN225" s="44">
        <v>0</v>
      </c>
      <c r="AO225" s="44">
        <v>0</v>
      </c>
      <c r="AP225" s="44">
        <v>0</v>
      </c>
      <c r="AQ225" s="44">
        <v>0</v>
      </c>
      <c r="AR225" s="44">
        <v>0</v>
      </c>
      <c r="AS225" s="44">
        <v>0</v>
      </c>
      <c r="AT225" s="44">
        <v>532600.88740000001</v>
      </c>
      <c r="AU225" s="44">
        <v>276453.31948824634</v>
      </c>
      <c r="AV225" s="44">
        <v>142907.51390000002</v>
      </c>
      <c r="AW225" s="44">
        <v>187925.56326672903</v>
      </c>
      <c r="AX225" s="62">
        <v>951961.72078824637</v>
      </c>
      <c r="AY225" s="62">
        <v>947297.74688824639</v>
      </c>
      <c r="AZ225" s="62">
        <v>4610</v>
      </c>
      <c r="BA225" s="62">
        <v>686890</v>
      </c>
      <c r="BB225" s="62">
        <v>0</v>
      </c>
      <c r="BC225" s="62">
        <v>0</v>
      </c>
      <c r="BD225" s="62">
        <v>951961.72078824637</v>
      </c>
      <c r="BE225" s="44">
        <v>951961.72078824637</v>
      </c>
      <c r="BF225" s="44">
        <v>0</v>
      </c>
      <c r="BG225" s="62">
        <v>691553.97389999998</v>
      </c>
      <c r="BH225" s="62">
        <v>548646.46</v>
      </c>
      <c r="BI225" s="44">
        <v>809054.20688824635</v>
      </c>
      <c r="BJ225" s="44">
        <v>5429.8940059613851</v>
      </c>
      <c r="BK225" s="44">
        <v>5450.4349606060605</v>
      </c>
      <c r="BL225" s="45">
        <v>-3.7686817278141261E-3</v>
      </c>
      <c r="BM225" s="45">
        <v>8.7686817278141253E-3</v>
      </c>
      <c r="BN225" s="44">
        <v>7121.1762877081446</v>
      </c>
      <c r="BO225" s="62">
        <v>959082.89707595448</v>
      </c>
      <c r="BP225" s="62">
        <v>6405.4961286976813</v>
      </c>
      <c r="BQ225" s="62" t="s">
        <v>92</v>
      </c>
      <c r="BR225" s="62">
        <v>6436.7979669527149</v>
      </c>
      <c r="BS225" s="53">
        <v>2.0582271775722694E-2</v>
      </c>
      <c r="BT225" s="44">
        <v>0</v>
      </c>
      <c r="BU225" s="44">
        <v>959082.89707595448</v>
      </c>
      <c r="BV225" s="44">
        <v>0</v>
      </c>
      <c r="BW225" s="44">
        <v>959082.89707595448</v>
      </c>
      <c r="BX225" s="44">
        <v>4663.9739</v>
      </c>
      <c r="BY225" s="44">
        <v>954418.92317595449</v>
      </c>
    </row>
    <row r="226" spans="1:77">
      <c r="A226">
        <v>0</v>
      </c>
      <c r="B226" s="60">
        <v>141670</v>
      </c>
      <c r="C226" s="60">
        <v>3302158</v>
      </c>
      <c r="D226" s="61" t="s">
        <v>933</v>
      </c>
      <c r="E226" s="52">
        <v>209</v>
      </c>
      <c r="F226" s="52">
        <v>209</v>
      </c>
      <c r="G226" s="52">
        <v>0</v>
      </c>
      <c r="H226" s="44">
        <v>747071.04339999997</v>
      </c>
      <c r="I226" s="44">
        <v>0</v>
      </c>
      <c r="J226" s="44">
        <v>0</v>
      </c>
      <c r="K226" s="44">
        <v>14751.596999999965</v>
      </c>
      <c r="L226" s="44">
        <v>0</v>
      </c>
      <c r="M226" s="44">
        <v>25509.224200000062</v>
      </c>
      <c r="N226" s="44">
        <v>0</v>
      </c>
      <c r="O226" s="44">
        <v>471.64959999999991</v>
      </c>
      <c r="P226" s="44">
        <v>4004.0042000000021</v>
      </c>
      <c r="Q226" s="44">
        <v>4912.1808999999976</v>
      </c>
      <c r="R226" s="44">
        <v>5353.7252999999973</v>
      </c>
      <c r="S226" s="44">
        <v>6718.4987999999948</v>
      </c>
      <c r="T226" s="44">
        <v>4776.7076000000034</v>
      </c>
      <c r="U226" s="44">
        <v>0</v>
      </c>
      <c r="V226" s="44">
        <v>0</v>
      </c>
      <c r="W226" s="44">
        <v>0</v>
      </c>
      <c r="X226" s="44">
        <v>0</v>
      </c>
      <c r="Y226" s="44">
        <v>0</v>
      </c>
      <c r="Z226" s="44">
        <v>0</v>
      </c>
      <c r="AA226" s="44">
        <v>13134.712535754186</v>
      </c>
      <c r="AB226" s="44">
        <v>0</v>
      </c>
      <c r="AC226" s="44">
        <v>57071.732972304555</v>
      </c>
      <c r="AD226" s="44">
        <v>0</v>
      </c>
      <c r="AE226" s="44">
        <v>0</v>
      </c>
      <c r="AF226" s="44">
        <v>0</v>
      </c>
      <c r="AG226" s="44">
        <v>138243.54</v>
      </c>
      <c r="AH226" s="44">
        <v>0</v>
      </c>
      <c r="AI226" s="44">
        <v>0</v>
      </c>
      <c r="AJ226" s="44">
        <v>0</v>
      </c>
      <c r="AK226" s="44">
        <v>6624.96</v>
      </c>
      <c r="AL226" s="44">
        <v>0</v>
      </c>
      <c r="AM226" s="44">
        <v>0</v>
      </c>
      <c r="AN226" s="44">
        <v>0</v>
      </c>
      <c r="AO226" s="44">
        <v>0</v>
      </c>
      <c r="AP226" s="44">
        <v>0</v>
      </c>
      <c r="AQ226" s="44">
        <v>0</v>
      </c>
      <c r="AR226" s="44">
        <v>0</v>
      </c>
      <c r="AS226" s="44">
        <v>0</v>
      </c>
      <c r="AT226" s="44">
        <v>747071.04339999997</v>
      </c>
      <c r="AU226" s="44">
        <v>136704.03310805876</v>
      </c>
      <c r="AV226" s="44">
        <v>144868.5</v>
      </c>
      <c r="AW226" s="44">
        <v>127674.07894230455</v>
      </c>
      <c r="AX226" s="62">
        <v>1028643.5765080587</v>
      </c>
      <c r="AY226" s="62">
        <v>1022018.6165080587</v>
      </c>
      <c r="AZ226" s="62">
        <v>4610</v>
      </c>
      <c r="BA226" s="62">
        <v>963490</v>
      </c>
      <c r="BB226" s="62">
        <v>0</v>
      </c>
      <c r="BC226" s="62">
        <v>0</v>
      </c>
      <c r="BD226" s="62">
        <v>1028643.5765080587</v>
      </c>
      <c r="BE226" s="44">
        <v>1028643.5765080587</v>
      </c>
      <c r="BF226" s="44">
        <v>0</v>
      </c>
      <c r="BG226" s="62">
        <v>970114.96</v>
      </c>
      <c r="BH226" s="62">
        <v>825246.46</v>
      </c>
      <c r="BI226" s="44">
        <v>883775.0765080587</v>
      </c>
      <c r="BJ226" s="44">
        <v>4228.5888828136776</v>
      </c>
      <c r="BK226" s="44">
        <v>4365.8990685990339</v>
      </c>
      <c r="BL226" s="45">
        <v>-3.1450609285252548E-2</v>
      </c>
      <c r="BM226" s="45">
        <v>3.6450609285252546E-2</v>
      </c>
      <c r="BN226" s="44">
        <v>33260.193355825439</v>
      </c>
      <c r="BO226" s="62">
        <v>1061903.7698638842</v>
      </c>
      <c r="BP226" s="62">
        <v>5049.1809084396373</v>
      </c>
      <c r="BQ226" s="62" t="s">
        <v>92</v>
      </c>
      <c r="BR226" s="62">
        <v>5080.8792816453788</v>
      </c>
      <c r="BS226" s="53">
        <v>4.9968182085502466E-3</v>
      </c>
      <c r="BT226" s="44">
        <v>0</v>
      </c>
      <c r="BU226" s="44">
        <v>1061903.7698638842</v>
      </c>
      <c r="BV226" s="44">
        <v>0</v>
      </c>
      <c r="BW226" s="44">
        <v>1061903.7698638842</v>
      </c>
      <c r="BX226" s="44">
        <v>6624.96</v>
      </c>
      <c r="BY226" s="44">
        <v>1055278.8098638842</v>
      </c>
    </row>
    <row r="227" spans="1:77">
      <c r="A227">
        <v>0</v>
      </c>
      <c r="B227" s="60">
        <v>141977</v>
      </c>
      <c r="C227" s="60">
        <v>3302162</v>
      </c>
      <c r="D227" s="61" t="s">
        <v>934</v>
      </c>
      <c r="E227" s="52">
        <v>343</v>
      </c>
      <c r="F227" s="52">
        <v>343</v>
      </c>
      <c r="G227" s="52">
        <v>0</v>
      </c>
      <c r="H227" s="44">
        <v>1226054.3917999999</v>
      </c>
      <c r="I227" s="44">
        <v>0</v>
      </c>
      <c r="J227" s="44">
        <v>0</v>
      </c>
      <c r="K227" s="44">
        <v>76216.584499999924</v>
      </c>
      <c r="L227" s="44">
        <v>0</v>
      </c>
      <c r="M227" s="44">
        <v>134129.14659999992</v>
      </c>
      <c r="N227" s="44">
        <v>0</v>
      </c>
      <c r="O227" s="44">
        <v>4269.7428598240476</v>
      </c>
      <c r="P227" s="44">
        <v>4602.8435378299118</v>
      </c>
      <c r="Q227" s="44">
        <v>12127.887847214071</v>
      </c>
      <c r="R227" s="44">
        <v>75881.313136363708</v>
      </c>
      <c r="S227" s="44">
        <v>54063.227880351951</v>
      </c>
      <c r="T227" s="44">
        <v>6177.5016175952969</v>
      </c>
      <c r="U227" s="44">
        <v>0</v>
      </c>
      <c r="V227" s="44">
        <v>0</v>
      </c>
      <c r="W227" s="44">
        <v>0</v>
      </c>
      <c r="X227" s="44">
        <v>0</v>
      </c>
      <c r="Y227" s="44">
        <v>0</v>
      </c>
      <c r="Z227" s="44">
        <v>0</v>
      </c>
      <c r="AA227" s="44">
        <v>66819.975830322568</v>
      </c>
      <c r="AB227" s="44">
        <v>0</v>
      </c>
      <c r="AC227" s="44">
        <v>137156.52704308328</v>
      </c>
      <c r="AD227" s="44">
        <v>0</v>
      </c>
      <c r="AE227" s="44">
        <v>32195.812032000158</v>
      </c>
      <c r="AF227" s="44">
        <v>0</v>
      </c>
      <c r="AG227" s="44">
        <v>138243.54</v>
      </c>
      <c r="AH227" s="44">
        <v>0</v>
      </c>
      <c r="AI227" s="44">
        <v>0</v>
      </c>
      <c r="AJ227" s="44">
        <v>0</v>
      </c>
      <c r="AK227" s="44">
        <v>10705.933300000001</v>
      </c>
      <c r="AL227" s="44">
        <v>0</v>
      </c>
      <c r="AM227" s="44">
        <v>0</v>
      </c>
      <c r="AN227" s="44">
        <v>0</v>
      </c>
      <c r="AO227" s="44">
        <v>0</v>
      </c>
      <c r="AP227" s="44">
        <v>0</v>
      </c>
      <c r="AQ227" s="44">
        <v>0</v>
      </c>
      <c r="AR227" s="44">
        <v>0</v>
      </c>
      <c r="AS227" s="44">
        <v>0</v>
      </c>
      <c r="AT227" s="44">
        <v>1226054.3917999999</v>
      </c>
      <c r="AU227" s="44">
        <v>603640.56288458477</v>
      </c>
      <c r="AV227" s="44">
        <v>148949.47330000001</v>
      </c>
      <c r="AW227" s="44">
        <v>382193.37062267272</v>
      </c>
      <c r="AX227" s="62">
        <v>1978644.4279845846</v>
      </c>
      <c r="AY227" s="62">
        <v>1967938.4946845847</v>
      </c>
      <c r="AZ227" s="62">
        <v>4610</v>
      </c>
      <c r="BA227" s="62">
        <v>1581230</v>
      </c>
      <c r="BB227" s="62">
        <v>0</v>
      </c>
      <c r="BC227" s="62">
        <v>0</v>
      </c>
      <c r="BD227" s="62">
        <v>1978644.4279845846</v>
      </c>
      <c r="BE227" s="44">
        <v>1978644.4279845844</v>
      </c>
      <c r="BF227" s="44">
        <v>0</v>
      </c>
      <c r="BG227" s="62">
        <v>1591935.9332999999</v>
      </c>
      <c r="BH227" s="62">
        <v>1442986.46</v>
      </c>
      <c r="BI227" s="44">
        <v>1829694.9546845846</v>
      </c>
      <c r="BJ227" s="44">
        <v>5334.3876229871275</v>
      </c>
      <c r="BK227" s="44">
        <v>5435.108271304347</v>
      </c>
      <c r="BL227" s="45">
        <v>-1.8531488847976153E-2</v>
      </c>
      <c r="BM227" s="45">
        <v>2.3531488847976154E-2</v>
      </c>
      <c r="BN227" s="44">
        <v>43868.393058093228</v>
      </c>
      <c r="BO227" s="62">
        <v>2022512.8210426779</v>
      </c>
      <c r="BP227" s="62">
        <v>5865.3262033314222</v>
      </c>
      <c r="BQ227" s="62" t="s">
        <v>92</v>
      </c>
      <c r="BR227" s="62">
        <v>5896.5388368591193</v>
      </c>
      <c r="BS227" s="53">
        <v>7.1878859965437414E-3</v>
      </c>
      <c r="BT227" s="44">
        <v>0</v>
      </c>
      <c r="BU227" s="44">
        <v>2022512.8210426779</v>
      </c>
      <c r="BV227" s="44">
        <v>0</v>
      </c>
      <c r="BW227" s="44">
        <v>2022512.8210426779</v>
      </c>
      <c r="BX227" s="44">
        <v>10705.933300000001</v>
      </c>
      <c r="BY227" s="44">
        <v>2011806.8877426779</v>
      </c>
    </row>
    <row r="228" spans="1:77">
      <c r="A228">
        <v>0</v>
      </c>
      <c r="B228" s="60">
        <v>142570</v>
      </c>
      <c r="C228" s="60">
        <v>3302165</v>
      </c>
      <c r="D228" s="61" t="s">
        <v>935</v>
      </c>
      <c r="E228" s="52">
        <v>715</v>
      </c>
      <c r="F228" s="52">
        <v>715</v>
      </c>
      <c r="G228" s="52">
        <v>0</v>
      </c>
      <c r="H228" s="44">
        <v>2555769.3589999997</v>
      </c>
      <c r="I228" s="44">
        <v>0</v>
      </c>
      <c r="J228" s="44">
        <v>0</v>
      </c>
      <c r="K228" s="44">
        <v>102277.73920000003</v>
      </c>
      <c r="L228" s="44">
        <v>0</v>
      </c>
      <c r="M228" s="44">
        <v>176095.93479999984</v>
      </c>
      <c r="N228" s="44">
        <v>0</v>
      </c>
      <c r="O228" s="44">
        <v>1889.2406946778738</v>
      </c>
      <c r="P228" s="44">
        <v>31504.094670868355</v>
      </c>
      <c r="Q228" s="44">
        <v>48296.232378151362</v>
      </c>
      <c r="R228" s="44">
        <v>189104.97488235304</v>
      </c>
      <c r="S228" s="44">
        <v>41920.045033613635</v>
      </c>
      <c r="T228" s="44">
        <v>6833.4252380952585</v>
      </c>
      <c r="U228" s="44">
        <v>0</v>
      </c>
      <c r="V228" s="44">
        <v>0</v>
      </c>
      <c r="W228" s="44">
        <v>0</v>
      </c>
      <c r="X228" s="44">
        <v>0</v>
      </c>
      <c r="Y228" s="44">
        <v>0</v>
      </c>
      <c r="Z228" s="44">
        <v>0</v>
      </c>
      <c r="AA228" s="44">
        <v>225550.59349680005</v>
      </c>
      <c r="AB228" s="44">
        <v>0</v>
      </c>
      <c r="AC228" s="44">
        <v>398561.16876335151</v>
      </c>
      <c r="AD228" s="44">
        <v>0</v>
      </c>
      <c r="AE228" s="44">
        <v>26107.316160000002</v>
      </c>
      <c r="AF228" s="44">
        <v>0</v>
      </c>
      <c r="AG228" s="44">
        <v>138243.54</v>
      </c>
      <c r="AH228" s="44">
        <v>0</v>
      </c>
      <c r="AI228" s="44">
        <v>0</v>
      </c>
      <c r="AJ228" s="44">
        <v>0</v>
      </c>
      <c r="AK228" s="44">
        <v>2305.4902000000002</v>
      </c>
      <c r="AL228" s="44">
        <v>0</v>
      </c>
      <c r="AM228" s="44">
        <v>0</v>
      </c>
      <c r="AN228" s="44">
        <v>0</v>
      </c>
      <c r="AO228" s="44">
        <v>0</v>
      </c>
      <c r="AP228" s="44">
        <v>0</v>
      </c>
      <c r="AQ228" s="44">
        <v>0</v>
      </c>
      <c r="AR228" s="44">
        <v>0</v>
      </c>
      <c r="AS228" s="44">
        <v>0</v>
      </c>
      <c r="AT228" s="44">
        <v>2555769.3589999997</v>
      </c>
      <c r="AU228" s="44">
        <v>1248140.7653179108</v>
      </c>
      <c r="AV228" s="44">
        <v>140549.03020000001</v>
      </c>
      <c r="AW228" s="44">
        <v>825310.48016223125</v>
      </c>
      <c r="AX228" s="62">
        <v>3944459.1545179104</v>
      </c>
      <c r="AY228" s="62">
        <v>3942153.6643179106</v>
      </c>
      <c r="AZ228" s="62">
        <v>4610</v>
      </c>
      <c r="BA228" s="62">
        <v>3296150</v>
      </c>
      <c r="BB228" s="62">
        <v>0</v>
      </c>
      <c r="BC228" s="62">
        <v>0</v>
      </c>
      <c r="BD228" s="62">
        <v>3944459.1545179104</v>
      </c>
      <c r="BE228" s="44">
        <v>3944459.1545179109</v>
      </c>
      <c r="BF228" s="44">
        <v>0</v>
      </c>
      <c r="BG228" s="62">
        <v>3298455.4901999999</v>
      </c>
      <c r="BH228" s="62">
        <v>3157906.46</v>
      </c>
      <c r="BI228" s="44">
        <v>3803910.1243179105</v>
      </c>
      <c r="BJ228" s="44">
        <v>5320.1540200250492</v>
      </c>
      <c r="BK228" s="44">
        <v>5308.3349926449791</v>
      </c>
      <c r="BL228" s="45">
        <v>2.2265036770373558E-3</v>
      </c>
      <c r="BM228" s="45">
        <v>2.7734963229626443E-3</v>
      </c>
      <c r="BN228" s="44">
        <v>10526.693021955671</v>
      </c>
      <c r="BO228" s="62">
        <v>3954985.8475398663</v>
      </c>
      <c r="BP228" s="62">
        <v>5528.2242759998135</v>
      </c>
      <c r="BQ228" s="62" t="s">
        <v>92</v>
      </c>
      <c r="BR228" s="62">
        <v>5531.4487378179947</v>
      </c>
      <c r="BS228" s="53">
        <v>2.3333239426752694E-3</v>
      </c>
      <c r="BT228" s="44">
        <v>0</v>
      </c>
      <c r="BU228" s="44">
        <v>3954985.8475398663</v>
      </c>
      <c r="BV228" s="44">
        <v>0</v>
      </c>
      <c r="BW228" s="44">
        <v>3954985.8475398663</v>
      </c>
      <c r="BX228" s="44">
        <v>2305.4902000000002</v>
      </c>
      <c r="BY228" s="44">
        <v>3952680.3573398665</v>
      </c>
    </row>
    <row r="229" spans="1:77">
      <c r="A229">
        <v>0</v>
      </c>
      <c r="B229" s="60">
        <v>142888</v>
      </c>
      <c r="C229" s="60">
        <v>3302167</v>
      </c>
      <c r="D229" s="61" t="s">
        <v>936</v>
      </c>
      <c r="E229" s="52">
        <v>630</v>
      </c>
      <c r="F229" s="52">
        <v>630</v>
      </c>
      <c r="G229" s="52">
        <v>0</v>
      </c>
      <c r="H229" s="44">
        <v>2251936.6379999998</v>
      </c>
      <c r="I229" s="44">
        <v>0</v>
      </c>
      <c r="J229" s="44">
        <v>0</v>
      </c>
      <c r="K229" s="44">
        <v>92935.061100000006</v>
      </c>
      <c r="L229" s="44">
        <v>0</v>
      </c>
      <c r="M229" s="44">
        <v>159638.37080000003</v>
      </c>
      <c r="N229" s="44">
        <v>0</v>
      </c>
      <c r="O229" s="44">
        <v>9432.992000000002</v>
      </c>
      <c r="P229" s="44">
        <v>52910.05550000006</v>
      </c>
      <c r="Q229" s="44">
        <v>43763.066200000125</v>
      </c>
      <c r="R229" s="44">
        <v>63271.29899999989</v>
      </c>
      <c r="S229" s="44">
        <v>29974.840800000009</v>
      </c>
      <c r="T229" s="44">
        <v>11600.575600000007</v>
      </c>
      <c r="U229" s="44">
        <v>0</v>
      </c>
      <c r="V229" s="44">
        <v>0</v>
      </c>
      <c r="W229" s="44">
        <v>0</v>
      </c>
      <c r="X229" s="44">
        <v>0</v>
      </c>
      <c r="Y229" s="44">
        <v>0</v>
      </c>
      <c r="Z229" s="44">
        <v>0</v>
      </c>
      <c r="AA229" s="44">
        <v>84737.790592356672</v>
      </c>
      <c r="AB229" s="44">
        <v>0</v>
      </c>
      <c r="AC229" s="44">
        <v>91178.439780072164</v>
      </c>
      <c r="AD229" s="44">
        <v>0</v>
      </c>
      <c r="AE229" s="44">
        <v>0</v>
      </c>
      <c r="AF229" s="44">
        <v>0</v>
      </c>
      <c r="AG229" s="44">
        <v>138243.54</v>
      </c>
      <c r="AH229" s="44">
        <v>0</v>
      </c>
      <c r="AI229" s="44">
        <v>0</v>
      </c>
      <c r="AJ229" s="44">
        <v>0</v>
      </c>
      <c r="AK229" s="44">
        <v>6942.9621999999999</v>
      </c>
      <c r="AL229" s="44">
        <v>0</v>
      </c>
      <c r="AM229" s="44">
        <v>0</v>
      </c>
      <c r="AN229" s="44">
        <v>0</v>
      </c>
      <c r="AO229" s="44">
        <v>0</v>
      </c>
      <c r="AP229" s="44">
        <v>0</v>
      </c>
      <c r="AQ229" s="44">
        <v>0</v>
      </c>
      <c r="AR229" s="44">
        <v>0</v>
      </c>
      <c r="AS229" s="44">
        <v>0</v>
      </c>
      <c r="AT229" s="44">
        <v>2251936.6379999998</v>
      </c>
      <c r="AU229" s="44">
        <v>639442.49137242895</v>
      </c>
      <c r="AV229" s="44">
        <v>145186.50220000002</v>
      </c>
      <c r="AW229" s="44">
        <v>435538.40218007215</v>
      </c>
      <c r="AX229" s="62">
        <v>3036565.6315724286</v>
      </c>
      <c r="AY229" s="62">
        <v>3029622.6693724287</v>
      </c>
      <c r="AZ229" s="62">
        <v>4610</v>
      </c>
      <c r="BA229" s="62">
        <v>2904300</v>
      </c>
      <c r="BB229" s="62">
        <v>0</v>
      </c>
      <c r="BC229" s="62">
        <v>0</v>
      </c>
      <c r="BD229" s="62">
        <v>3036565.6315724286</v>
      </c>
      <c r="BE229" s="44">
        <v>3036565.6315724296</v>
      </c>
      <c r="BF229" s="44">
        <v>0</v>
      </c>
      <c r="BG229" s="62">
        <v>2911242.9622</v>
      </c>
      <c r="BH229" s="62">
        <v>2766056.46</v>
      </c>
      <c r="BI229" s="44">
        <v>2891379.1293724286</v>
      </c>
      <c r="BJ229" s="44">
        <v>4589.4906815435379</v>
      </c>
      <c r="BK229" s="44">
        <v>4620.9447560317467</v>
      </c>
      <c r="BL229" s="45">
        <v>-6.8068492805830666E-3</v>
      </c>
      <c r="BM229" s="45">
        <v>1.1806849280583067E-2</v>
      </c>
      <c r="BN229" s="44">
        <v>34372.042909071541</v>
      </c>
      <c r="BO229" s="62">
        <v>3070937.6744814999</v>
      </c>
      <c r="BP229" s="62">
        <v>4863.4836702880948</v>
      </c>
      <c r="BQ229" s="62" t="s">
        <v>92</v>
      </c>
      <c r="BR229" s="62">
        <v>4874.50424520873</v>
      </c>
      <c r="BS229" s="53">
        <v>6.311479786338392E-3</v>
      </c>
      <c r="BT229" s="44">
        <v>0</v>
      </c>
      <c r="BU229" s="44">
        <v>3070937.6744814999</v>
      </c>
      <c r="BV229" s="44">
        <v>0</v>
      </c>
      <c r="BW229" s="44">
        <v>3070937.6744814999</v>
      </c>
      <c r="BX229" s="44">
        <v>6942.9621999999999</v>
      </c>
      <c r="BY229" s="44">
        <v>3063994.7122815</v>
      </c>
    </row>
    <row r="230" spans="1:77">
      <c r="A230">
        <v>0</v>
      </c>
      <c r="B230" s="60">
        <v>143908</v>
      </c>
      <c r="C230" s="60">
        <v>3302170</v>
      </c>
      <c r="D230" s="61" t="s">
        <v>937</v>
      </c>
      <c r="E230" s="52">
        <v>405</v>
      </c>
      <c r="F230" s="52">
        <v>405</v>
      </c>
      <c r="G230" s="52">
        <v>0</v>
      </c>
      <c r="H230" s="44">
        <v>1447673.5529999998</v>
      </c>
      <c r="I230" s="44">
        <v>0</v>
      </c>
      <c r="J230" s="44">
        <v>0</v>
      </c>
      <c r="K230" s="44">
        <v>100310.85960000005</v>
      </c>
      <c r="L230" s="44">
        <v>0</v>
      </c>
      <c r="M230" s="44">
        <v>171158.66559999989</v>
      </c>
      <c r="N230" s="44">
        <v>0</v>
      </c>
      <c r="O230" s="44">
        <v>3801.3549850746249</v>
      </c>
      <c r="P230" s="44">
        <v>2881.346305970153</v>
      </c>
      <c r="Q230" s="44">
        <v>38241.028376865717</v>
      </c>
      <c r="R230" s="44">
        <v>1961.3376268656727</v>
      </c>
      <c r="S230" s="44">
        <v>119752.8058208955</v>
      </c>
      <c r="T230" s="44">
        <v>15124.54325373135</v>
      </c>
      <c r="U230" s="44">
        <v>0</v>
      </c>
      <c r="V230" s="44">
        <v>0</v>
      </c>
      <c r="W230" s="44">
        <v>0</v>
      </c>
      <c r="X230" s="44">
        <v>0</v>
      </c>
      <c r="Y230" s="44">
        <v>0</v>
      </c>
      <c r="Z230" s="44">
        <v>0</v>
      </c>
      <c r="AA230" s="44">
        <v>95915.485800000009</v>
      </c>
      <c r="AB230" s="44">
        <v>0</v>
      </c>
      <c r="AC230" s="44">
        <v>168798.08134396543</v>
      </c>
      <c r="AD230" s="44">
        <v>0</v>
      </c>
      <c r="AE230" s="44">
        <v>30538.816320000158</v>
      </c>
      <c r="AF230" s="44">
        <v>0</v>
      </c>
      <c r="AG230" s="44">
        <v>138243.54</v>
      </c>
      <c r="AH230" s="44">
        <v>0</v>
      </c>
      <c r="AI230" s="44">
        <v>0</v>
      </c>
      <c r="AJ230" s="44">
        <v>0</v>
      </c>
      <c r="AK230" s="44">
        <v>6094.9632000000001</v>
      </c>
      <c r="AL230" s="44">
        <v>0</v>
      </c>
      <c r="AM230" s="44">
        <v>0</v>
      </c>
      <c r="AN230" s="44">
        <v>0</v>
      </c>
      <c r="AO230" s="44">
        <v>0</v>
      </c>
      <c r="AP230" s="44">
        <v>0</v>
      </c>
      <c r="AQ230" s="44">
        <v>0</v>
      </c>
      <c r="AR230" s="44">
        <v>0</v>
      </c>
      <c r="AS230" s="44">
        <v>0</v>
      </c>
      <c r="AT230" s="44">
        <v>1447673.5529999998</v>
      </c>
      <c r="AU230" s="44">
        <v>748484.32503336854</v>
      </c>
      <c r="AV230" s="44">
        <v>144338.50320000001</v>
      </c>
      <c r="AW230" s="44">
        <v>467797.72977866692</v>
      </c>
      <c r="AX230" s="62">
        <v>2340496.3812333685</v>
      </c>
      <c r="AY230" s="62">
        <v>2334401.4180333684</v>
      </c>
      <c r="AZ230" s="62">
        <v>4610</v>
      </c>
      <c r="BA230" s="62">
        <v>1867050</v>
      </c>
      <c r="BB230" s="62">
        <v>0</v>
      </c>
      <c r="BC230" s="62">
        <v>0</v>
      </c>
      <c r="BD230" s="62">
        <v>2340496.3812333685</v>
      </c>
      <c r="BE230" s="44">
        <v>2340496.3812333685</v>
      </c>
      <c r="BF230" s="44">
        <v>0</v>
      </c>
      <c r="BG230" s="62">
        <v>1873144.9632000001</v>
      </c>
      <c r="BH230" s="62">
        <v>1728806.46</v>
      </c>
      <c r="BI230" s="44">
        <v>2196157.8780333684</v>
      </c>
      <c r="BJ230" s="44">
        <v>5422.6120445268352</v>
      </c>
      <c r="BK230" s="44">
        <v>5345.4363654501203</v>
      </c>
      <c r="BL230" s="45">
        <v>1.4437676141004108E-2</v>
      </c>
      <c r="BM230" s="45">
        <v>0</v>
      </c>
      <c r="BN230" s="44">
        <v>0</v>
      </c>
      <c r="BO230" s="62">
        <v>2340496.3812333685</v>
      </c>
      <c r="BP230" s="62">
        <v>5763.9541186009101</v>
      </c>
      <c r="BQ230" s="62" t="s">
        <v>92</v>
      </c>
      <c r="BR230" s="62">
        <v>5779.0034104527622</v>
      </c>
      <c r="BS230" s="53">
        <v>1.4181196509852168E-2</v>
      </c>
      <c r="BT230" s="44">
        <v>0</v>
      </c>
      <c r="BU230" s="44">
        <v>2340496.3812333685</v>
      </c>
      <c r="BV230" s="44">
        <v>0</v>
      </c>
      <c r="BW230" s="44">
        <v>2340496.3812333685</v>
      </c>
      <c r="BX230" s="44">
        <v>6094.9632000000001</v>
      </c>
      <c r="BY230" s="44">
        <v>2334401.4180333684</v>
      </c>
    </row>
    <row r="231" spans="1:77">
      <c r="A231">
        <v>0</v>
      </c>
      <c r="B231" s="60">
        <v>144337</v>
      </c>
      <c r="C231" s="60">
        <v>3302171</v>
      </c>
      <c r="D231" s="61" t="s">
        <v>938</v>
      </c>
      <c r="E231" s="52">
        <v>336</v>
      </c>
      <c r="F231" s="52">
        <v>336</v>
      </c>
      <c r="G231" s="52">
        <v>0</v>
      </c>
      <c r="H231" s="44">
        <v>1201032.8736</v>
      </c>
      <c r="I231" s="44">
        <v>0</v>
      </c>
      <c r="J231" s="44">
        <v>0</v>
      </c>
      <c r="K231" s="44">
        <v>81625.503400000001</v>
      </c>
      <c r="L231" s="44">
        <v>0</v>
      </c>
      <c r="M231" s="44">
        <v>137420.65940000012</v>
      </c>
      <c r="N231" s="44">
        <v>0</v>
      </c>
      <c r="O231" s="44">
        <v>235.82480000000032</v>
      </c>
      <c r="P231" s="44">
        <v>2002.0020999999967</v>
      </c>
      <c r="Q231" s="44">
        <v>99136.741800000047</v>
      </c>
      <c r="R231" s="44">
        <v>15574.473599999994</v>
      </c>
      <c r="S231" s="44">
        <v>31525.263599999991</v>
      </c>
      <c r="T231" s="44">
        <v>2729.5471999999991</v>
      </c>
      <c r="U231" s="44">
        <v>0</v>
      </c>
      <c r="V231" s="44">
        <v>0</v>
      </c>
      <c r="W231" s="44">
        <v>0</v>
      </c>
      <c r="X231" s="44">
        <v>0</v>
      </c>
      <c r="Y231" s="44">
        <v>0</v>
      </c>
      <c r="Z231" s="44">
        <v>0</v>
      </c>
      <c r="AA231" s="44">
        <v>85448.943849664458</v>
      </c>
      <c r="AB231" s="44">
        <v>0</v>
      </c>
      <c r="AC231" s="44">
        <v>133156.23950826449</v>
      </c>
      <c r="AD231" s="44">
        <v>0</v>
      </c>
      <c r="AE231" s="44">
        <v>10532.074098626861</v>
      </c>
      <c r="AF231" s="44">
        <v>0</v>
      </c>
      <c r="AG231" s="44">
        <v>138243.54</v>
      </c>
      <c r="AH231" s="44">
        <v>0</v>
      </c>
      <c r="AI231" s="44">
        <v>0</v>
      </c>
      <c r="AJ231" s="44">
        <v>0</v>
      </c>
      <c r="AK231" s="44">
        <v>5061.4714999999997</v>
      </c>
      <c r="AL231" s="44">
        <v>0</v>
      </c>
      <c r="AM231" s="44">
        <v>0</v>
      </c>
      <c r="AN231" s="44">
        <v>0</v>
      </c>
      <c r="AO231" s="44">
        <v>0</v>
      </c>
      <c r="AP231" s="44">
        <v>0</v>
      </c>
      <c r="AQ231" s="44">
        <v>0</v>
      </c>
      <c r="AR231" s="44">
        <v>0</v>
      </c>
      <c r="AS231" s="44">
        <v>0</v>
      </c>
      <c r="AT231" s="44">
        <v>1201032.8736</v>
      </c>
      <c r="AU231" s="44">
        <v>599387.27335655584</v>
      </c>
      <c r="AV231" s="44">
        <v>143305.01150000002</v>
      </c>
      <c r="AW231" s="44">
        <v>378332.89113826456</v>
      </c>
      <c r="AX231" s="62">
        <v>1943725.158456556</v>
      </c>
      <c r="AY231" s="62">
        <v>1938663.686956556</v>
      </c>
      <c r="AZ231" s="62">
        <v>4610</v>
      </c>
      <c r="BA231" s="62">
        <v>1548960</v>
      </c>
      <c r="BB231" s="62">
        <v>0</v>
      </c>
      <c r="BC231" s="62">
        <v>0</v>
      </c>
      <c r="BD231" s="62">
        <v>1943725.158456556</v>
      </c>
      <c r="BE231" s="44">
        <v>1943725.1584565556</v>
      </c>
      <c r="BF231" s="44">
        <v>0</v>
      </c>
      <c r="BG231" s="62">
        <v>1554021.4715</v>
      </c>
      <c r="BH231" s="62">
        <v>1410716.46</v>
      </c>
      <c r="BI231" s="44">
        <v>1800420.146956556</v>
      </c>
      <c r="BJ231" s="44">
        <v>5358.3932945135593</v>
      </c>
      <c r="BK231" s="44">
        <v>5252.0065188449853</v>
      </c>
      <c r="BL231" s="45">
        <v>2.0256405868279558E-2</v>
      </c>
      <c r="BM231" s="45">
        <v>0</v>
      </c>
      <c r="BN231" s="44">
        <v>0</v>
      </c>
      <c r="BO231" s="62">
        <v>1943725.158456556</v>
      </c>
      <c r="BP231" s="62">
        <v>5769.8324016564166</v>
      </c>
      <c r="BQ231" s="62" t="s">
        <v>92</v>
      </c>
      <c r="BR231" s="62">
        <v>5784.8963049302265</v>
      </c>
      <c r="BS231" s="53">
        <v>1.6644538346286319E-2</v>
      </c>
      <c r="BT231" s="44">
        <v>0</v>
      </c>
      <c r="BU231" s="44">
        <v>1943725.158456556</v>
      </c>
      <c r="BV231" s="44">
        <v>0</v>
      </c>
      <c r="BW231" s="44">
        <v>1943725.158456556</v>
      </c>
      <c r="BX231" s="44">
        <v>5061.4714999999997</v>
      </c>
      <c r="BY231" s="44">
        <v>1938663.686956556</v>
      </c>
    </row>
    <row r="232" spans="1:77">
      <c r="A232">
        <v>0</v>
      </c>
      <c r="B232" s="60">
        <v>144390</v>
      </c>
      <c r="C232" s="60">
        <v>3302175</v>
      </c>
      <c r="D232" s="61" t="s">
        <v>939</v>
      </c>
      <c r="E232" s="52">
        <v>385</v>
      </c>
      <c r="F232" s="52">
        <v>385</v>
      </c>
      <c r="G232" s="52">
        <v>0</v>
      </c>
      <c r="H232" s="44">
        <v>1376183.5009999999</v>
      </c>
      <c r="I232" s="44">
        <v>0</v>
      </c>
      <c r="J232" s="44">
        <v>0</v>
      </c>
      <c r="K232" s="44">
        <v>111620.41730000009</v>
      </c>
      <c r="L232" s="44">
        <v>0</v>
      </c>
      <c r="M232" s="44">
        <v>193376.37699999989</v>
      </c>
      <c r="N232" s="44">
        <v>0</v>
      </c>
      <c r="O232" s="44">
        <v>10612.116000000013</v>
      </c>
      <c r="P232" s="44">
        <v>1144.0012000000013</v>
      </c>
      <c r="Q232" s="44">
        <v>6698.4285000000073</v>
      </c>
      <c r="R232" s="44">
        <v>42343.100100000003</v>
      </c>
      <c r="S232" s="44">
        <v>62533.719599999939</v>
      </c>
      <c r="T232" s="44">
        <v>38896.047599999984</v>
      </c>
      <c r="U232" s="44">
        <v>0</v>
      </c>
      <c r="V232" s="44">
        <v>0</v>
      </c>
      <c r="W232" s="44">
        <v>0</v>
      </c>
      <c r="X232" s="44">
        <v>0</v>
      </c>
      <c r="Y232" s="44">
        <v>0</v>
      </c>
      <c r="Z232" s="44">
        <v>0</v>
      </c>
      <c r="AA232" s="44">
        <v>25480.513506042364</v>
      </c>
      <c r="AB232" s="44">
        <v>0</v>
      </c>
      <c r="AC232" s="44">
        <v>163851.09087091891</v>
      </c>
      <c r="AD232" s="44">
        <v>0</v>
      </c>
      <c r="AE232" s="44">
        <v>0</v>
      </c>
      <c r="AF232" s="44">
        <v>0</v>
      </c>
      <c r="AG232" s="44">
        <v>138243.54</v>
      </c>
      <c r="AH232" s="44">
        <v>0</v>
      </c>
      <c r="AI232" s="44">
        <v>0</v>
      </c>
      <c r="AJ232" s="44">
        <v>0</v>
      </c>
      <c r="AK232" s="44">
        <v>4584.4682000000003</v>
      </c>
      <c r="AL232" s="44">
        <v>0</v>
      </c>
      <c r="AM232" s="44">
        <v>0</v>
      </c>
      <c r="AN232" s="44">
        <v>0</v>
      </c>
      <c r="AO232" s="44">
        <v>0</v>
      </c>
      <c r="AP232" s="44">
        <v>0</v>
      </c>
      <c r="AQ232" s="44">
        <v>0</v>
      </c>
      <c r="AR232" s="44">
        <v>0</v>
      </c>
      <c r="AS232" s="44">
        <v>0</v>
      </c>
      <c r="AT232" s="44">
        <v>1376183.5009999999</v>
      </c>
      <c r="AU232" s="44">
        <v>656555.81167696114</v>
      </c>
      <c r="AV232" s="44">
        <v>142828.00820000001</v>
      </c>
      <c r="AW232" s="44">
        <v>466272.36957091885</v>
      </c>
      <c r="AX232" s="62">
        <v>2175567.3208769611</v>
      </c>
      <c r="AY232" s="62">
        <v>2170982.8526769611</v>
      </c>
      <c r="AZ232" s="62">
        <v>4610</v>
      </c>
      <c r="BA232" s="62">
        <v>1774850</v>
      </c>
      <c r="BB232" s="62">
        <v>0</v>
      </c>
      <c r="BC232" s="62">
        <v>0</v>
      </c>
      <c r="BD232" s="62">
        <v>2175567.3208769611</v>
      </c>
      <c r="BE232" s="44">
        <v>2175567.3208769606</v>
      </c>
      <c r="BF232" s="44">
        <v>0</v>
      </c>
      <c r="BG232" s="62">
        <v>1779434.4682</v>
      </c>
      <c r="BH232" s="62">
        <v>1636606.46</v>
      </c>
      <c r="BI232" s="44">
        <v>2032739.3126769611</v>
      </c>
      <c r="BJ232" s="44">
        <v>5279.8423705895093</v>
      </c>
      <c r="BK232" s="44">
        <v>5129.2033520833329</v>
      </c>
      <c r="BL232" s="45">
        <v>2.9368891846526465E-2</v>
      </c>
      <c r="BM232" s="45">
        <v>0</v>
      </c>
      <c r="BN232" s="44">
        <v>0</v>
      </c>
      <c r="BO232" s="62">
        <v>2175567.3208769611</v>
      </c>
      <c r="BP232" s="62">
        <v>5638.9165004596389</v>
      </c>
      <c r="BQ232" s="62" t="s">
        <v>92</v>
      </c>
      <c r="BR232" s="62">
        <v>5650.824210070029</v>
      </c>
      <c r="BS232" s="53">
        <v>2.7047323704482817E-2</v>
      </c>
      <c r="BT232" s="44">
        <v>0</v>
      </c>
      <c r="BU232" s="44">
        <v>2175567.3208769611</v>
      </c>
      <c r="BV232" s="44">
        <v>0</v>
      </c>
      <c r="BW232" s="44">
        <v>2175567.3208769611</v>
      </c>
      <c r="BX232" s="44">
        <v>4584.4682000000003</v>
      </c>
      <c r="BY232" s="44">
        <v>2170982.8526769611</v>
      </c>
    </row>
    <row r="233" spans="1:77">
      <c r="A233">
        <v>0</v>
      </c>
      <c r="B233" s="60">
        <v>142858</v>
      </c>
      <c r="C233" s="60">
        <v>3302180</v>
      </c>
      <c r="D233" s="61" t="s">
        <v>940</v>
      </c>
      <c r="E233" s="52">
        <v>425</v>
      </c>
      <c r="F233" s="52">
        <v>425</v>
      </c>
      <c r="G233" s="52">
        <v>0</v>
      </c>
      <c r="H233" s="44">
        <v>1519163.605</v>
      </c>
      <c r="I233" s="44">
        <v>0</v>
      </c>
      <c r="J233" s="44">
        <v>0</v>
      </c>
      <c r="K233" s="44">
        <v>97360.540199999901</v>
      </c>
      <c r="L233" s="44">
        <v>0</v>
      </c>
      <c r="M233" s="44">
        <v>167867.15280000001</v>
      </c>
      <c r="N233" s="44">
        <v>0</v>
      </c>
      <c r="O233" s="44">
        <v>10140.466399999972</v>
      </c>
      <c r="P233" s="44">
        <v>11440.011999999995</v>
      </c>
      <c r="Q233" s="44">
        <v>11164.047499999999</v>
      </c>
      <c r="R233" s="44">
        <v>56944.169100000036</v>
      </c>
      <c r="S233" s="44">
        <v>100777.48200000008</v>
      </c>
      <c r="T233" s="44">
        <v>3411.9339999999879</v>
      </c>
      <c r="U233" s="44">
        <v>0</v>
      </c>
      <c r="V233" s="44">
        <v>0</v>
      </c>
      <c r="W233" s="44">
        <v>0</v>
      </c>
      <c r="X233" s="44">
        <v>0</v>
      </c>
      <c r="Y233" s="44">
        <v>0</v>
      </c>
      <c r="Z233" s="44">
        <v>0</v>
      </c>
      <c r="AA233" s="44">
        <v>134432.53654109596</v>
      </c>
      <c r="AB233" s="44">
        <v>0</v>
      </c>
      <c r="AC233" s="44">
        <v>166377.87426059259</v>
      </c>
      <c r="AD233" s="44">
        <v>0</v>
      </c>
      <c r="AE233" s="44">
        <v>0</v>
      </c>
      <c r="AF233" s="44">
        <v>0</v>
      </c>
      <c r="AG233" s="44">
        <v>138243.54</v>
      </c>
      <c r="AH233" s="44">
        <v>0</v>
      </c>
      <c r="AI233" s="44">
        <v>0</v>
      </c>
      <c r="AJ233" s="44">
        <v>0</v>
      </c>
      <c r="AK233" s="44">
        <v>7101.9530000000004</v>
      </c>
      <c r="AL233" s="44">
        <v>0</v>
      </c>
      <c r="AM233" s="44">
        <v>0</v>
      </c>
      <c r="AN233" s="44">
        <v>0</v>
      </c>
      <c r="AO233" s="44">
        <v>0</v>
      </c>
      <c r="AP233" s="44">
        <v>0</v>
      </c>
      <c r="AQ233" s="44">
        <v>0</v>
      </c>
      <c r="AR233" s="44">
        <v>0</v>
      </c>
      <c r="AS233" s="44">
        <v>0</v>
      </c>
      <c r="AT233" s="44">
        <v>1519163.605</v>
      </c>
      <c r="AU233" s="44">
        <v>759916.21480168856</v>
      </c>
      <c r="AV233" s="44">
        <v>145345.49300000002</v>
      </c>
      <c r="AW233" s="44">
        <v>471888.9565105926</v>
      </c>
      <c r="AX233" s="62">
        <v>2424425.3128016889</v>
      </c>
      <c r="AY233" s="62">
        <v>2417323.3598016887</v>
      </c>
      <c r="AZ233" s="62">
        <v>4610</v>
      </c>
      <c r="BA233" s="62">
        <v>1959250</v>
      </c>
      <c r="BB233" s="62">
        <v>0</v>
      </c>
      <c r="BC233" s="62">
        <v>0</v>
      </c>
      <c r="BD233" s="62">
        <v>2424425.3128016889</v>
      </c>
      <c r="BE233" s="44">
        <v>2424425.3128016889</v>
      </c>
      <c r="BF233" s="44">
        <v>0</v>
      </c>
      <c r="BG233" s="62">
        <v>1966351.953</v>
      </c>
      <c r="BH233" s="62">
        <v>1821006.46</v>
      </c>
      <c r="BI233" s="44">
        <v>2279079.8198016887</v>
      </c>
      <c r="BJ233" s="44">
        <v>5362.5407524745615</v>
      </c>
      <c r="BK233" s="44">
        <v>5164.2478171361508</v>
      </c>
      <c r="BL233" s="45">
        <v>3.8397254035801597E-2</v>
      </c>
      <c r="BM233" s="45">
        <v>0</v>
      </c>
      <c r="BN233" s="44">
        <v>0</v>
      </c>
      <c r="BO233" s="62">
        <v>2424425.3128016889</v>
      </c>
      <c r="BP233" s="62">
        <v>5687.8196701216202</v>
      </c>
      <c r="BQ233" s="62" t="s">
        <v>92</v>
      </c>
      <c r="BR233" s="62">
        <v>5704.5301477686799</v>
      </c>
      <c r="BS233" s="53">
        <v>3.7336037510681042E-2</v>
      </c>
      <c r="BT233" s="44">
        <v>0</v>
      </c>
      <c r="BU233" s="44">
        <v>2424425.3128016889</v>
      </c>
      <c r="BV233" s="44">
        <v>0</v>
      </c>
      <c r="BW233" s="44">
        <v>2424425.3128016889</v>
      </c>
      <c r="BX233" s="44">
        <v>7101.9530000000004</v>
      </c>
      <c r="BY233" s="44">
        <v>2417323.3598016887</v>
      </c>
    </row>
    <row r="234" spans="1:77">
      <c r="A234">
        <v>0</v>
      </c>
      <c r="B234" s="60">
        <v>144722</v>
      </c>
      <c r="C234" s="60">
        <v>3302181</v>
      </c>
      <c r="D234" s="61" t="s">
        <v>941</v>
      </c>
      <c r="E234" s="52">
        <v>458</v>
      </c>
      <c r="F234" s="52">
        <v>458</v>
      </c>
      <c r="G234" s="52">
        <v>0</v>
      </c>
      <c r="H234" s="44">
        <v>1637122.1908</v>
      </c>
      <c r="I234" s="44">
        <v>0</v>
      </c>
      <c r="J234" s="44">
        <v>0</v>
      </c>
      <c r="K234" s="44">
        <v>91951.621299999984</v>
      </c>
      <c r="L234" s="44">
        <v>0</v>
      </c>
      <c r="M234" s="44">
        <v>158815.49260000009</v>
      </c>
      <c r="N234" s="44">
        <v>0</v>
      </c>
      <c r="O234" s="44">
        <v>9432.9919999999984</v>
      </c>
      <c r="P234" s="44">
        <v>65780.068999999974</v>
      </c>
      <c r="Q234" s="44">
        <v>62518.666000000099</v>
      </c>
      <c r="R234" s="44">
        <v>4867.0230000000038</v>
      </c>
      <c r="S234" s="44">
        <v>3100.8455999999978</v>
      </c>
      <c r="T234" s="44">
        <v>4776.7075999999925</v>
      </c>
      <c r="U234" s="44">
        <v>0</v>
      </c>
      <c r="V234" s="44">
        <v>0</v>
      </c>
      <c r="W234" s="44">
        <v>0</v>
      </c>
      <c r="X234" s="44">
        <v>0</v>
      </c>
      <c r="Y234" s="44">
        <v>0</v>
      </c>
      <c r="Z234" s="44">
        <v>0</v>
      </c>
      <c r="AA234" s="44">
        <v>113998.68607412944</v>
      </c>
      <c r="AB234" s="44">
        <v>0</v>
      </c>
      <c r="AC234" s="44">
        <v>215730.84993982295</v>
      </c>
      <c r="AD234" s="44">
        <v>0</v>
      </c>
      <c r="AE234" s="44">
        <v>36145.627392000148</v>
      </c>
      <c r="AF234" s="44">
        <v>0</v>
      </c>
      <c r="AG234" s="44">
        <v>138243.54</v>
      </c>
      <c r="AH234" s="44">
        <v>0</v>
      </c>
      <c r="AI234" s="44">
        <v>0</v>
      </c>
      <c r="AJ234" s="44">
        <v>0</v>
      </c>
      <c r="AK234" s="44">
        <v>10599.936</v>
      </c>
      <c r="AL234" s="44">
        <v>0</v>
      </c>
      <c r="AM234" s="44">
        <v>0</v>
      </c>
      <c r="AN234" s="44">
        <v>0</v>
      </c>
      <c r="AO234" s="44">
        <v>0</v>
      </c>
      <c r="AP234" s="44">
        <v>0</v>
      </c>
      <c r="AQ234" s="44">
        <v>0</v>
      </c>
      <c r="AR234" s="44">
        <v>0</v>
      </c>
      <c r="AS234" s="44">
        <v>0</v>
      </c>
      <c r="AT234" s="44">
        <v>1637122.1908</v>
      </c>
      <c r="AU234" s="44">
        <v>767118.58050595259</v>
      </c>
      <c r="AV234" s="44">
        <v>148843.476</v>
      </c>
      <c r="AW234" s="44">
        <v>498208.66802982299</v>
      </c>
      <c r="AX234" s="62">
        <v>2553084.2473059525</v>
      </c>
      <c r="AY234" s="62">
        <v>2542484.3113059523</v>
      </c>
      <c r="AZ234" s="62">
        <v>4610</v>
      </c>
      <c r="BA234" s="62">
        <v>2111380</v>
      </c>
      <c r="BB234" s="62">
        <v>0</v>
      </c>
      <c r="BC234" s="62">
        <v>0</v>
      </c>
      <c r="BD234" s="62">
        <v>2553084.2473059525</v>
      </c>
      <c r="BE234" s="44">
        <v>2553084.2473059525</v>
      </c>
      <c r="BF234" s="44">
        <v>0</v>
      </c>
      <c r="BG234" s="62">
        <v>2121979.9360000002</v>
      </c>
      <c r="BH234" s="62">
        <v>1973136.4600000002</v>
      </c>
      <c r="BI234" s="44">
        <v>2404240.7713059522</v>
      </c>
      <c r="BJ234" s="44">
        <v>5249.4339984846119</v>
      </c>
      <c r="BK234" s="44">
        <v>5185.0706503118499</v>
      </c>
      <c r="BL234" s="45">
        <v>1.2413205626984265E-2</v>
      </c>
      <c r="BM234" s="45">
        <v>0</v>
      </c>
      <c r="BN234" s="44">
        <v>0</v>
      </c>
      <c r="BO234" s="62">
        <v>2553084.2473059525</v>
      </c>
      <c r="BP234" s="62">
        <v>5551.275788877625</v>
      </c>
      <c r="BQ234" s="62" t="s">
        <v>92</v>
      </c>
      <c r="BR234" s="62">
        <v>5574.4197539431279</v>
      </c>
      <c r="BS234" s="53">
        <v>1.596656390759188E-2</v>
      </c>
      <c r="BT234" s="44">
        <v>0</v>
      </c>
      <c r="BU234" s="44">
        <v>2553084.2473059525</v>
      </c>
      <c r="BV234" s="44">
        <v>0</v>
      </c>
      <c r="BW234" s="44">
        <v>2553084.2473059525</v>
      </c>
      <c r="BX234" s="44">
        <v>10599.936</v>
      </c>
      <c r="BY234" s="44">
        <v>2542484.3113059523</v>
      </c>
    </row>
    <row r="235" spans="1:77">
      <c r="A235">
        <v>0</v>
      </c>
      <c r="B235" s="60">
        <v>146075</v>
      </c>
      <c r="C235" s="60">
        <v>3302186</v>
      </c>
      <c r="D235" s="61" t="s">
        <v>942</v>
      </c>
      <c r="E235" s="52">
        <v>594</v>
      </c>
      <c r="F235" s="52">
        <v>594</v>
      </c>
      <c r="G235" s="52">
        <v>0</v>
      </c>
      <c r="H235" s="44">
        <v>2123254.5444</v>
      </c>
      <c r="I235" s="44">
        <v>0</v>
      </c>
      <c r="J235" s="44">
        <v>0</v>
      </c>
      <c r="K235" s="44">
        <v>96868.820300000109</v>
      </c>
      <c r="L235" s="44">
        <v>0</v>
      </c>
      <c r="M235" s="44">
        <v>166221.39639999997</v>
      </c>
      <c r="N235" s="44">
        <v>0</v>
      </c>
      <c r="O235" s="44">
        <v>33251.296799999946</v>
      </c>
      <c r="P235" s="44">
        <v>23452.02459999999</v>
      </c>
      <c r="Q235" s="44">
        <v>73682.713500000056</v>
      </c>
      <c r="R235" s="44">
        <v>51590.44379999987</v>
      </c>
      <c r="S235" s="44">
        <v>39277.377600000014</v>
      </c>
      <c r="T235" s="44">
        <v>4094.3207999999995</v>
      </c>
      <c r="U235" s="44">
        <v>0</v>
      </c>
      <c r="V235" s="44">
        <v>0</v>
      </c>
      <c r="W235" s="44">
        <v>0</v>
      </c>
      <c r="X235" s="44">
        <v>0</v>
      </c>
      <c r="Y235" s="44">
        <v>0</v>
      </c>
      <c r="Z235" s="44">
        <v>0</v>
      </c>
      <c r="AA235" s="44">
        <v>108262.81512873124</v>
      </c>
      <c r="AB235" s="44">
        <v>0</v>
      </c>
      <c r="AC235" s="44">
        <v>334547.72670428595</v>
      </c>
      <c r="AD235" s="44">
        <v>0</v>
      </c>
      <c r="AE235" s="44">
        <v>7230.3492181621432</v>
      </c>
      <c r="AF235" s="44">
        <v>0</v>
      </c>
      <c r="AG235" s="44">
        <v>138243.54</v>
      </c>
      <c r="AH235" s="44">
        <v>0</v>
      </c>
      <c r="AI235" s="44">
        <v>0</v>
      </c>
      <c r="AJ235" s="44">
        <v>0</v>
      </c>
      <c r="AK235" s="44">
        <v>2384.9856</v>
      </c>
      <c r="AL235" s="44">
        <v>0</v>
      </c>
      <c r="AM235" s="44">
        <v>0</v>
      </c>
      <c r="AN235" s="44">
        <v>0</v>
      </c>
      <c r="AO235" s="44">
        <v>0</v>
      </c>
      <c r="AP235" s="44">
        <v>0</v>
      </c>
      <c r="AQ235" s="44">
        <v>0</v>
      </c>
      <c r="AR235" s="44">
        <v>0</v>
      </c>
      <c r="AS235" s="44">
        <v>0</v>
      </c>
      <c r="AT235" s="44">
        <v>2123254.5444</v>
      </c>
      <c r="AU235" s="44">
        <v>938479.28485117934</v>
      </c>
      <c r="AV235" s="44">
        <v>140628.52559999999</v>
      </c>
      <c r="AW235" s="44">
        <v>684929.65082428593</v>
      </c>
      <c r="AX235" s="62">
        <v>3202362.3548511793</v>
      </c>
      <c r="AY235" s="62">
        <v>3199977.3692511795</v>
      </c>
      <c r="AZ235" s="62">
        <v>4610</v>
      </c>
      <c r="BA235" s="62">
        <v>2738340</v>
      </c>
      <c r="BB235" s="62">
        <v>0</v>
      </c>
      <c r="BC235" s="62">
        <v>0</v>
      </c>
      <c r="BD235" s="62">
        <v>3202362.3548511793</v>
      </c>
      <c r="BE235" s="44">
        <v>3202362.3548511798</v>
      </c>
      <c r="BF235" s="44">
        <v>0</v>
      </c>
      <c r="BG235" s="62">
        <v>2740724.9855999998</v>
      </c>
      <c r="BH235" s="62">
        <v>2600096.46</v>
      </c>
      <c r="BI235" s="44">
        <v>3061733.8292511795</v>
      </c>
      <c r="BJ235" s="44">
        <v>5154.4340559784168</v>
      </c>
      <c r="BK235" s="44">
        <v>5118.6934656910562</v>
      </c>
      <c r="BL235" s="45">
        <v>6.9823658179412858E-3</v>
      </c>
      <c r="BM235" s="45">
        <v>0</v>
      </c>
      <c r="BN235" s="44">
        <v>0</v>
      </c>
      <c r="BO235" s="62">
        <v>3202362.3548511793</v>
      </c>
      <c r="BP235" s="62">
        <v>5387.167288301649</v>
      </c>
      <c r="BQ235" s="62" t="s">
        <v>92</v>
      </c>
      <c r="BR235" s="62">
        <v>5391.1824155743761</v>
      </c>
      <c r="BS235" s="53">
        <v>5.7775773681745246E-3</v>
      </c>
      <c r="BT235" s="44">
        <v>0</v>
      </c>
      <c r="BU235" s="44">
        <v>3202362.3548511793</v>
      </c>
      <c r="BV235" s="44">
        <v>0</v>
      </c>
      <c r="BW235" s="44">
        <v>3202362.3548511793</v>
      </c>
      <c r="BX235" s="44">
        <v>2384.9856</v>
      </c>
      <c r="BY235" s="44">
        <v>3199977.3692511795</v>
      </c>
    </row>
    <row r="236" spans="1:77">
      <c r="A236">
        <v>0</v>
      </c>
      <c r="B236" s="60">
        <v>146268</v>
      </c>
      <c r="C236" s="60">
        <v>3302187</v>
      </c>
      <c r="D236" s="61" t="s">
        <v>943</v>
      </c>
      <c r="E236" s="52">
        <v>406</v>
      </c>
      <c r="F236" s="52">
        <v>406</v>
      </c>
      <c r="G236" s="52">
        <v>0</v>
      </c>
      <c r="H236" s="44">
        <v>1451248.0555999998</v>
      </c>
      <c r="I236" s="44">
        <v>0</v>
      </c>
      <c r="J236" s="44">
        <v>0</v>
      </c>
      <c r="K236" s="44">
        <v>100802.57949999996</v>
      </c>
      <c r="L236" s="44">
        <v>0</v>
      </c>
      <c r="M236" s="44">
        <v>170335.78739999983</v>
      </c>
      <c r="N236" s="44">
        <v>0</v>
      </c>
      <c r="O236" s="44">
        <v>27119.852000000043</v>
      </c>
      <c r="P236" s="44">
        <v>9152.0096000000012</v>
      </c>
      <c r="Q236" s="44">
        <v>18755.599800000007</v>
      </c>
      <c r="R236" s="44">
        <v>48183.527700000057</v>
      </c>
      <c r="S236" s="44">
        <v>32558.878799999908</v>
      </c>
      <c r="T236" s="44">
        <v>26613.085200000001</v>
      </c>
      <c r="U236" s="44">
        <v>0</v>
      </c>
      <c r="V236" s="44">
        <v>0</v>
      </c>
      <c r="W236" s="44">
        <v>0</v>
      </c>
      <c r="X236" s="44">
        <v>0</v>
      </c>
      <c r="Y236" s="44">
        <v>0</v>
      </c>
      <c r="Z236" s="44">
        <v>0</v>
      </c>
      <c r="AA236" s="44">
        <v>59404.446966666626</v>
      </c>
      <c r="AB236" s="44">
        <v>0</v>
      </c>
      <c r="AC236" s="44">
        <v>179218.68395950081</v>
      </c>
      <c r="AD236" s="44">
        <v>0</v>
      </c>
      <c r="AE236" s="44">
        <v>28554.274943999848</v>
      </c>
      <c r="AF236" s="44">
        <v>0</v>
      </c>
      <c r="AG236" s="44">
        <v>138243.54</v>
      </c>
      <c r="AH236" s="44">
        <v>0</v>
      </c>
      <c r="AI236" s="44">
        <v>0</v>
      </c>
      <c r="AJ236" s="44">
        <v>82904.98</v>
      </c>
      <c r="AK236" s="44">
        <v>3338.9819000000002</v>
      </c>
      <c r="AL236" s="44">
        <v>0</v>
      </c>
      <c r="AM236" s="44">
        <v>0</v>
      </c>
      <c r="AN236" s="44">
        <v>0</v>
      </c>
      <c r="AO236" s="44">
        <v>0</v>
      </c>
      <c r="AP236" s="44">
        <v>0</v>
      </c>
      <c r="AQ236" s="44">
        <v>0</v>
      </c>
      <c r="AR236" s="44">
        <v>0</v>
      </c>
      <c r="AS236" s="44">
        <v>0</v>
      </c>
      <c r="AT236" s="44">
        <v>1451248.0555999998</v>
      </c>
      <c r="AU236" s="44">
        <v>700698.72587016702</v>
      </c>
      <c r="AV236" s="44">
        <v>224487.50190000003</v>
      </c>
      <c r="AW236" s="44">
        <v>468541.74673950073</v>
      </c>
      <c r="AX236" s="62">
        <v>2376434.283370167</v>
      </c>
      <c r="AY236" s="62">
        <v>2290190.321470167</v>
      </c>
      <c r="AZ236" s="62">
        <v>4610</v>
      </c>
      <c r="BA236" s="62">
        <v>1871660</v>
      </c>
      <c r="BB236" s="62">
        <v>0</v>
      </c>
      <c r="BC236" s="62">
        <v>0</v>
      </c>
      <c r="BD236" s="62">
        <v>2376434.283370167</v>
      </c>
      <c r="BE236" s="44">
        <v>2376434.283370167</v>
      </c>
      <c r="BF236" s="44">
        <v>0</v>
      </c>
      <c r="BG236" s="62">
        <v>1957903.9619</v>
      </c>
      <c r="BH236" s="62">
        <v>1816321.44</v>
      </c>
      <c r="BI236" s="44">
        <v>2234851.761470167</v>
      </c>
      <c r="BJ236" s="44">
        <v>5504.5609888427762</v>
      </c>
      <c r="BK236" s="44">
        <v>5296.5517253101743</v>
      </c>
      <c r="BL236" s="45">
        <v>3.92725822988957E-2</v>
      </c>
      <c r="BM236" s="45">
        <v>0</v>
      </c>
      <c r="BN236" s="44">
        <v>0</v>
      </c>
      <c r="BO236" s="62">
        <v>2376434.283370167</v>
      </c>
      <c r="BP236" s="62">
        <v>5640.8628607639585</v>
      </c>
      <c r="BQ236" s="62" t="s">
        <v>92</v>
      </c>
      <c r="BR236" s="62">
        <v>5853.2864122417905</v>
      </c>
      <c r="BS236" s="53">
        <v>3.6836247122047805E-2</v>
      </c>
      <c r="BT236" s="44">
        <v>0</v>
      </c>
      <c r="BU236" s="44">
        <v>2376434.283370167</v>
      </c>
      <c r="BV236" s="44">
        <v>0</v>
      </c>
      <c r="BW236" s="44">
        <v>2376434.283370167</v>
      </c>
      <c r="BX236" s="44">
        <v>3338.9819000000002</v>
      </c>
      <c r="BY236" s="44">
        <v>2373095.301470167</v>
      </c>
    </row>
    <row r="237" spans="1:77">
      <c r="A237">
        <v>0</v>
      </c>
      <c r="B237" s="60">
        <v>143433</v>
      </c>
      <c r="C237" s="60">
        <v>3302188</v>
      </c>
      <c r="D237" s="61" t="s">
        <v>944</v>
      </c>
      <c r="E237" s="52">
        <v>207</v>
      </c>
      <c r="F237" s="52">
        <v>207</v>
      </c>
      <c r="G237" s="52">
        <v>0</v>
      </c>
      <c r="H237" s="44">
        <v>739922.03819999995</v>
      </c>
      <c r="I237" s="44">
        <v>0</v>
      </c>
      <c r="J237" s="44">
        <v>0</v>
      </c>
      <c r="K237" s="44">
        <v>30978.353700000047</v>
      </c>
      <c r="L237" s="44">
        <v>0</v>
      </c>
      <c r="M237" s="44">
        <v>52664.204800000058</v>
      </c>
      <c r="N237" s="44">
        <v>0</v>
      </c>
      <c r="O237" s="44">
        <v>0</v>
      </c>
      <c r="P237" s="44">
        <v>8008.0084000000115</v>
      </c>
      <c r="Q237" s="44">
        <v>10270.923699999988</v>
      </c>
      <c r="R237" s="44">
        <v>1946.8091999999956</v>
      </c>
      <c r="S237" s="44">
        <v>8268.9216000000033</v>
      </c>
      <c r="T237" s="44">
        <v>6141.4811999999974</v>
      </c>
      <c r="U237" s="44">
        <v>0</v>
      </c>
      <c r="V237" s="44">
        <v>0</v>
      </c>
      <c r="W237" s="44">
        <v>0</v>
      </c>
      <c r="X237" s="44">
        <v>0</v>
      </c>
      <c r="Y237" s="44">
        <v>0</v>
      </c>
      <c r="Z237" s="44">
        <v>0</v>
      </c>
      <c r="AA237" s="44">
        <v>13156.016100000052</v>
      </c>
      <c r="AB237" s="44">
        <v>0</v>
      </c>
      <c r="AC237" s="44">
        <v>60829.297171938859</v>
      </c>
      <c r="AD237" s="44">
        <v>0</v>
      </c>
      <c r="AE237" s="44">
        <v>3448.863168000008</v>
      </c>
      <c r="AF237" s="44">
        <v>0</v>
      </c>
      <c r="AG237" s="44">
        <v>138243.54</v>
      </c>
      <c r="AH237" s="44">
        <v>0</v>
      </c>
      <c r="AI237" s="44">
        <v>0</v>
      </c>
      <c r="AJ237" s="44">
        <v>0</v>
      </c>
      <c r="AK237" s="44">
        <v>5140.9669000000004</v>
      </c>
      <c r="AL237" s="44">
        <v>0</v>
      </c>
      <c r="AM237" s="44">
        <v>0</v>
      </c>
      <c r="AN237" s="44">
        <v>0</v>
      </c>
      <c r="AO237" s="44">
        <v>0</v>
      </c>
      <c r="AP237" s="44">
        <v>0</v>
      </c>
      <c r="AQ237" s="44">
        <v>0</v>
      </c>
      <c r="AR237" s="44">
        <v>0</v>
      </c>
      <c r="AS237" s="44">
        <v>0</v>
      </c>
      <c r="AT237" s="44">
        <v>739922.03819999995</v>
      </c>
      <c r="AU237" s="44">
        <v>195712.87903993903</v>
      </c>
      <c r="AV237" s="44">
        <v>143384.50690000001</v>
      </c>
      <c r="AW237" s="44">
        <v>156964.75038193891</v>
      </c>
      <c r="AX237" s="62">
        <v>1079019.424139939</v>
      </c>
      <c r="AY237" s="62">
        <v>1073878.4572399389</v>
      </c>
      <c r="AZ237" s="62">
        <v>4610</v>
      </c>
      <c r="BA237" s="62">
        <v>954270</v>
      </c>
      <c r="BB237" s="62">
        <v>0</v>
      </c>
      <c r="BC237" s="62">
        <v>0</v>
      </c>
      <c r="BD237" s="62">
        <v>1079019.424139939</v>
      </c>
      <c r="BE237" s="44">
        <v>1079019.424139939</v>
      </c>
      <c r="BF237" s="44">
        <v>0</v>
      </c>
      <c r="BG237" s="62">
        <v>959410.9669</v>
      </c>
      <c r="BH237" s="62">
        <v>816026.46</v>
      </c>
      <c r="BI237" s="44">
        <v>935634.91723993898</v>
      </c>
      <c r="BJ237" s="44">
        <v>4519.9754456035698</v>
      </c>
      <c r="BK237" s="44">
        <v>5049.4541834999991</v>
      </c>
      <c r="BL237" s="45">
        <v>-0.10485860820890235</v>
      </c>
      <c r="BM237" s="45">
        <v>0.10985860820890235</v>
      </c>
      <c r="BN237" s="44">
        <v>114828.28382448337</v>
      </c>
      <c r="BO237" s="62">
        <v>1193847.7079644224</v>
      </c>
      <c r="BP237" s="62">
        <v>5742.5446428232963</v>
      </c>
      <c r="BQ237" s="62" t="s">
        <v>92</v>
      </c>
      <c r="BR237" s="62">
        <v>5767.3802317121854</v>
      </c>
      <c r="BS237" s="53">
        <v>1.8238520238671452E-3</v>
      </c>
      <c r="BT237" s="44">
        <v>0</v>
      </c>
      <c r="BU237" s="44">
        <v>1193847.7079644224</v>
      </c>
      <c r="BV237" s="44">
        <v>0</v>
      </c>
      <c r="BW237" s="44">
        <v>1193847.7079644224</v>
      </c>
      <c r="BX237" s="44">
        <v>5140.9669000000004</v>
      </c>
      <c r="BY237" s="44">
        <v>1188706.7410644223</v>
      </c>
    </row>
    <row r="238" spans="1:77">
      <c r="A238">
        <v>0</v>
      </c>
      <c r="B238" s="60">
        <v>146385</v>
      </c>
      <c r="C238" s="60">
        <v>3302194</v>
      </c>
      <c r="D238" s="61" t="s">
        <v>945</v>
      </c>
      <c r="E238" s="52">
        <v>414</v>
      </c>
      <c r="F238" s="52">
        <v>414</v>
      </c>
      <c r="G238" s="52">
        <v>0</v>
      </c>
      <c r="H238" s="44">
        <v>1479844.0763999999</v>
      </c>
      <c r="I238" s="44">
        <v>0</v>
      </c>
      <c r="J238" s="44">
        <v>0</v>
      </c>
      <c r="K238" s="44">
        <v>74249.704899999953</v>
      </c>
      <c r="L238" s="44">
        <v>0</v>
      </c>
      <c r="M238" s="44">
        <v>128368.99920000017</v>
      </c>
      <c r="N238" s="44">
        <v>0</v>
      </c>
      <c r="O238" s="44">
        <v>2122.4231999999993</v>
      </c>
      <c r="P238" s="44">
        <v>75218.078900000022</v>
      </c>
      <c r="Q238" s="44">
        <v>11610.609400000007</v>
      </c>
      <c r="R238" s="44">
        <v>4867.0230000000047</v>
      </c>
      <c r="S238" s="44">
        <v>5684.8835999999901</v>
      </c>
      <c r="T238" s="44">
        <v>10235.801999999996</v>
      </c>
      <c r="U238" s="44">
        <v>0</v>
      </c>
      <c r="V238" s="44">
        <v>0</v>
      </c>
      <c r="W238" s="44">
        <v>0</v>
      </c>
      <c r="X238" s="44">
        <v>0</v>
      </c>
      <c r="Y238" s="44">
        <v>0</v>
      </c>
      <c r="Z238" s="44">
        <v>0</v>
      </c>
      <c r="AA238" s="44">
        <v>128494.56660512816</v>
      </c>
      <c r="AB238" s="44">
        <v>0</v>
      </c>
      <c r="AC238" s="44">
        <v>223560.17803212869</v>
      </c>
      <c r="AD238" s="44">
        <v>0</v>
      </c>
      <c r="AE238" s="44">
        <v>15568.052736000011</v>
      </c>
      <c r="AF238" s="44">
        <v>0</v>
      </c>
      <c r="AG238" s="44">
        <v>138243.54</v>
      </c>
      <c r="AH238" s="44">
        <v>0</v>
      </c>
      <c r="AI238" s="44">
        <v>0</v>
      </c>
      <c r="AJ238" s="44">
        <v>0</v>
      </c>
      <c r="AK238" s="44">
        <v>6642.7686999999996</v>
      </c>
      <c r="AL238" s="44">
        <v>0</v>
      </c>
      <c r="AM238" s="44">
        <v>0</v>
      </c>
      <c r="AN238" s="44">
        <v>0</v>
      </c>
      <c r="AO238" s="44">
        <v>0</v>
      </c>
      <c r="AP238" s="44">
        <v>0</v>
      </c>
      <c r="AQ238" s="44">
        <v>0</v>
      </c>
      <c r="AR238" s="44">
        <v>0</v>
      </c>
      <c r="AS238" s="44">
        <v>0</v>
      </c>
      <c r="AT238" s="44">
        <v>1479844.0763999999</v>
      </c>
      <c r="AU238" s="44">
        <v>679980.32157325698</v>
      </c>
      <c r="AV238" s="44">
        <v>144886.30869999999</v>
      </c>
      <c r="AW238" s="44">
        <v>453731.14395212871</v>
      </c>
      <c r="AX238" s="62">
        <v>2304710.7066732571</v>
      </c>
      <c r="AY238" s="62">
        <v>2298067.9379732572</v>
      </c>
      <c r="AZ238" s="62">
        <v>4610</v>
      </c>
      <c r="BA238" s="62">
        <v>1908540</v>
      </c>
      <c r="BB238" s="62">
        <v>0</v>
      </c>
      <c r="BC238" s="62">
        <v>0</v>
      </c>
      <c r="BD238" s="62">
        <v>2304710.7066732571</v>
      </c>
      <c r="BE238" s="44">
        <v>2304710.7066732571</v>
      </c>
      <c r="BF238" s="44">
        <v>0</v>
      </c>
      <c r="BG238" s="62">
        <v>1915182.7686999999</v>
      </c>
      <c r="BH238" s="62">
        <v>1770296.46</v>
      </c>
      <c r="BI238" s="44">
        <v>2159824.3979732571</v>
      </c>
      <c r="BJ238" s="44">
        <v>5216.9671448629397</v>
      </c>
      <c r="BK238" s="44">
        <v>5160.4448811704833</v>
      </c>
      <c r="BL238" s="45">
        <v>1.0952982735790035E-2</v>
      </c>
      <c r="BM238" s="45">
        <v>0</v>
      </c>
      <c r="BN238" s="44">
        <v>0</v>
      </c>
      <c r="BO238" s="62">
        <v>2304710.7066732571</v>
      </c>
      <c r="BP238" s="62">
        <v>5550.8887390658383</v>
      </c>
      <c r="BQ238" s="62" t="s">
        <v>92</v>
      </c>
      <c r="BR238" s="62">
        <v>5566.9340740899925</v>
      </c>
      <c r="BS238" s="53">
        <v>7.6063012295710664E-3</v>
      </c>
      <c r="BT238" s="44">
        <v>0</v>
      </c>
      <c r="BU238" s="44">
        <v>2304710.7066732571</v>
      </c>
      <c r="BV238" s="44">
        <v>0</v>
      </c>
      <c r="BW238" s="44">
        <v>2304710.7066732571</v>
      </c>
      <c r="BX238" s="44">
        <v>6642.7686999999996</v>
      </c>
      <c r="BY238" s="44">
        <v>2298067.9379732572</v>
      </c>
    </row>
    <row r="239" spans="1:77">
      <c r="A239">
        <v>0</v>
      </c>
      <c r="B239" s="60">
        <v>138104</v>
      </c>
      <c r="C239" s="60">
        <v>3302195</v>
      </c>
      <c r="D239" s="61" t="s">
        <v>946</v>
      </c>
      <c r="E239" s="52">
        <v>556</v>
      </c>
      <c r="F239" s="52">
        <v>556</v>
      </c>
      <c r="G239" s="52">
        <v>0</v>
      </c>
      <c r="H239" s="44">
        <v>1987423.4456</v>
      </c>
      <c r="I239" s="44">
        <v>0</v>
      </c>
      <c r="J239" s="44">
        <v>0</v>
      </c>
      <c r="K239" s="44">
        <v>144073.93069999997</v>
      </c>
      <c r="L239" s="44">
        <v>0</v>
      </c>
      <c r="M239" s="44">
        <v>246040.58180000004</v>
      </c>
      <c r="N239" s="44">
        <v>0</v>
      </c>
      <c r="O239" s="44">
        <v>5433.7433196396341</v>
      </c>
      <c r="P239" s="44">
        <v>3151.6717744144116</v>
      </c>
      <c r="Q239" s="44">
        <v>43841.918571531634</v>
      </c>
      <c r="R239" s="44">
        <v>77037.520090810896</v>
      </c>
      <c r="S239" s="44">
        <v>57469.005120000002</v>
      </c>
      <c r="T239" s="44">
        <v>78615.877463062978</v>
      </c>
      <c r="U239" s="44">
        <v>0</v>
      </c>
      <c r="V239" s="44">
        <v>0</v>
      </c>
      <c r="W239" s="44">
        <v>0</v>
      </c>
      <c r="X239" s="44">
        <v>0</v>
      </c>
      <c r="Y239" s="44">
        <v>0</v>
      </c>
      <c r="Z239" s="44">
        <v>0</v>
      </c>
      <c r="AA239" s="44">
        <v>26927.723550102255</v>
      </c>
      <c r="AB239" s="44">
        <v>0</v>
      </c>
      <c r="AC239" s="44">
        <v>332724.38770739757</v>
      </c>
      <c r="AD239" s="44">
        <v>0</v>
      </c>
      <c r="AE239" s="44">
        <v>616.55654399997593</v>
      </c>
      <c r="AF239" s="44">
        <v>0</v>
      </c>
      <c r="AG239" s="44">
        <v>138243.54</v>
      </c>
      <c r="AH239" s="44">
        <v>0</v>
      </c>
      <c r="AI239" s="44">
        <v>0</v>
      </c>
      <c r="AJ239" s="44">
        <v>0</v>
      </c>
      <c r="AK239" s="44">
        <v>5670.9637000000002</v>
      </c>
      <c r="AL239" s="44">
        <v>0</v>
      </c>
      <c r="AM239" s="44">
        <v>0</v>
      </c>
      <c r="AN239" s="44">
        <v>0</v>
      </c>
      <c r="AO239" s="44">
        <v>0</v>
      </c>
      <c r="AP239" s="44">
        <v>0</v>
      </c>
      <c r="AQ239" s="44">
        <v>0</v>
      </c>
      <c r="AR239" s="44">
        <v>0</v>
      </c>
      <c r="AS239" s="44">
        <v>0</v>
      </c>
      <c r="AT239" s="44">
        <v>1987423.4456</v>
      </c>
      <c r="AU239" s="44">
        <v>1015932.9166409593</v>
      </c>
      <c r="AV239" s="44">
        <v>143914.5037</v>
      </c>
      <c r="AW239" s="44">
        <v>759927.68440712732</v>
      </c>
      <c r="AX239" s="62">
        <v>3147270.8659409592</v>
      </c>
      <c r="AY239" s="62">
        <v>3141599.902240959</v>
      </c>
      <c r="AZ239" s="62">
        <v>4610</v>
      </c>
      <c r="BA239" s="62">
        <v>2563160</v>
      </c>
      <c r="BB239" s="62">
        <v>0</v>
      </c>
      <c r="BC239" s="62">
        <v>0</v>
      </c>
      <c r="BD239" s="62">
        <v>3147270.8659409592</v>
      </c>
      <c r="BE239" s="44">
        <v>3147270.8659409592</v>
      </c>
      <c r="BF239" s="44">
        <v>0</v>
      </c>
      <c r="BG239" s="62">
        <v>2568830.9637000002</v>
      </c>
      <c r="BH239" s="62">
        <v>2424916.46</v>
      </c>
      <c r="BI239" s="44">
        <v>3003356.362240959</v>
      </c>
      <c r="BJ239" s="44">
        <v>5401.7200759729476</v>
      </c>
      <c r="BK239" s="44">
        <v>5296.480596422487</v>
      </c>
      <c r="BL239" s="45">
        <v>1.9869699819450807E-2</v>
      </c>
      <c r="BM239" s="45">
        <v>0</v>
      </c>
      <c r="BN239" s="44">
        <v>0</v>
      </c>
      <c r="BO239" s="62">
        <v>3147270.8659409592</v>
      </c>
      <c r="BP239" s="62">
        <v>5650.3595364046023</v>
      </c>
      <c r="BQ239" s="62" t="s">
        <v>92</v>
      </c>
      <c r="BR239" s="62">
        <v>5660.5591114046028</v>
      </c>
      <c r="BS239" s="53">
        <v>2.1212984237817034E-2</v>
      </c>
      <c r="BT239" s="44">
        <v>0</v>
      </c>
      <c r="BU239" s="44">
        <v>3147270.8659409592</v>
      </c>
      <c r="BV239" s="44">
        <v>0</v>
      </c>
      <c r="BW239" s="44">
        <v>3147270.8659409592</v>
      </c>
      <c r="BX239" s="44">
        <v>5670.9637000000002</v>
      </c>
      <c r="BY239" s="44">
        <v>3141599.902240959</v>
      </c>
    </row>
    <row r="240" spans="1:77">
      <c r="A240">
        <v>0</v>
      </c>
      <c r="B240" s="60">
        <v>146437</v>
      </c>
      <c r="C240" s="60">
        <v>3302196</v>
      </c>
      <c r="D240" s="61" t="s">
        <v>947</v>
      </c>
      <c r="E240" s="52">
        <v>381</v>
      </c>
      <c r="F240" s="52">
        <v>381</v>
      </c>
      <c r="G240" s="52">
        <v>0</v>
      </c>
      <c r="H240" s="44">
        <v>1361885.4905999999</v>
      </c>
      <c r="I240" s="44">
        <v>0</v>
      </c>
      <c r="J240" s="44">
        <v>0</v>
      </c>
      <c r="K240" s="44">
        <v>80642.063600000038</v>
      </c>
      <c r="L240" s="44">
        <v>0</v>
      </c>
      <c r="M240" s="44">
        <v>142357.9285999999</v>
      </c>
      <c r="N240" s="44">
        <v>0</v>
      </c>
      <c r="O240" s="44">
        <v>2600.8993073684182</v>
      </c>
      <c r="P240" s="44">
        <v>1720.5175942105232</v>
      </c>
      <c r="Q240" s="44">
        <v>7163.7930063157837</v>
      </c>
      <c r="R240" s="44">
        <v>42942.512406315778</v>
      </c>
      <c r="S240" s="44">
        <v>62698.282020000006</v>
      </c>
      <c r="T240" s="44">
        <v>64313.16014526326</v>
      </c>
      <c r="U240" s="44">
        <v>0</v>
      </c>
      <c r="V240" s="44">
        <v>0</v>
      </c>
      <c r="W240" s="44">
        <v>0</v>
      </c>
      <c r="X240" s="44">
        <v>0</v>
      </c>
      <c r="Y240" s="44">
        <v>0</v>
      </c>
      <c r="Z240" s="44">
        <v>0</v>
      </c>
      <c r="AA240" s="44">
        <v>103361.28145263158</v>
      </c>
      <c r="AB240" s="44">
        <v>0</v>
      </c>
      <c r="AC240" s="44">
        <v>234622.86046589879</v>
      </c>
      <c r="AD240" s="44">
        <v>0</v>
      </c>
      <c r="AE240" s="44">
        <v>27238.514885052457</v>
      </c>
      <c r="AF240" s="44">
        <v>0</v>
      </c>
      <c r="AG240" s="44">
        <v>138243.54</v>
      </c>
      <c r="AH240" s="44">
        <v>0</v>
      </c>
      <c r="AI240" s="44">
        <v>0</v>
      </c>
      <c r="AJ240" s="44">
        <v>0</v>
      </c>
      <c r="AK240" s="44">
        <v>3232.9845999999998</v>
      </c>
      <c r="AL240" s="44">
        <v>0</v>
      </c>
      <c r="AM240" s="44">
        <v>0</v>
      </c>
      <c r="AN240" s="44">
        <v>0</v>
      </c>
      <c r="AO240" s="44">
        <v>0</v>
      </c>
      <c r="AP240" s="44">
        <v>0</v>
      </c>
      <c r="AQ240" s="44">
        <v>0</v>
      </c>
      <c r="AR240" s="44">
        <v>0</v>
      </c>
      <c r="AS240" s="44">
        <v>0</v>
      </c>
      <c r="AT240" s="44">
        <v>1361885.4905999999</v>
      </c>
      <c r="AU240" s="44">
        <v>769661.8134830565</v>
      </c>
      <c r="AV240" s="44">
        <v>141476.5246</v>
      </c>
      <c r="AW240" s="44">
        <v>504936.71333563561</v>
      </c>
      <c r="AX240" s="62">
        <v>2273023.8286830564</v>
      </c>
      <c r="AY240" s="62">
        <v>2269790.8440830563</v>
      </c>
      <c r="AZ240" s="62">
        <v>4610</v>
      </c>
      <c r="BA240" s="62">
        <v>1756410</v>
      </c>
      <c r="BB240" s="62">
        <v>0</v>
      </c>
      <c r="BC240" s="62">
        <v>0</v>
      </c>
      <c r="BD240" s="62">
        <v>2273023.8286830564</v>
      </c>
      <c r="BE240" s="44">
        <v>2273023.8286830569</v>
      </c>
      <c r="BF240" s="44">
        <v>0</v>
      </c>
      <c r="BG240" s="62">
        <v>1759642.9846000001</v>
      </c>
      <c r="BH240" s="62">
        <v>1618166.46</v>
      </c>
      <c r="BI240" s="44">
        <v>2131547.3040830563</v>
      </c>
      <c r="BJ240" s="44">
        <v>5594.6123466746885</v>
      </c>
      <c r="BK240" s="44">
        <v>5595.3046248322153</v>
      </c>
      <c r="BL240" s="45">
        <v>-1.2372483786751874E-4</v>
      </c>
      <c r="BM240" s="45">
        <v>5.1237248378675189E-3</v>
      </c>
      <c r="BN240" s="44">
        <v>10922.813288323059</v>
      </c>
      <c r="BO240" s="62">
        <v>2283946.6419713795</v>
      </c>
      <c r="BP240" s="62">
        <v>5986.1250849642502</v>
      </c>
      <c r="BQ240" s="62" t="s">
        <v>92</v>
      </c>
      <c r="BR240" s="62">
        <v>5994.610608848765</v>
      </c>
      <c r="BS240" s="53">
        <v>-1.3668743772801917E-2</v>
      </c>
      <c r="BT240" s="44">
        <v>0</v>
      </c>
      <c r="BU240" s="44">
        <v>2283946.6419713795</v>
      </c>
      <c r="BV240" s="44">
        <v>0</v>
      </c>
      <c r="BW240" s="44">
        <v>2283946.6419713795</v>
      </c>
      <c r="BX240" s="44">
        <v>3232.9845999999998</v>
      </c>
      <c r="BY240" s="44">
        <v>2280713.6573713794</v>
      </c>
    </row>
    <row r="241" spans="1:77">
      <c r="A241">
        <v>0</v>
      </c>
      <c r="B241" s="60">
        <v>146817</v>
      </c>
      <c r="C241" s="60">
        <v>3302198</v>
      </c>
      <c r="D241" s="61" t="s">
        <v>948</v>
      </c>
      <c r="E241" s="52">
        <v>242</v>
      </c>
      <c r="F241" s="52">
        <v>242</v>
      </c>
      <c r="G241" s="52">
        <v>0</v>
      </c>
      <c r="H241" s="44">
        <v>865029.62919999997</v>
      </c>
      <c r="I241" s="44">
        <v>0</v>
      </c>
      <c r="J241" s="44">
        <v>0</v>
      </c>
      <c r="K241" s="44">
        <v>81625.50340000006</v>
      </c>
      <c r="L241" s="44">
        <v>0</v>
      </c>
      <c r="M241" s="44">
        <v>138243.53760000001</v>
      </c>
      <c r="N241" s="44">
        <v>0</v>
      </c>
      <c r="O241" s="44">
        <v>1179.1240000000007</v>
      </c>
      <c r="P241" s="44">
        <v>286.00030000000015</v>
      </c>
      <c r="Q241" s="44">
        <v>12950.295100000038</v>
      </c>
      <c r="R241" s="44">
        <v>6813.8322000000016</v>
      </c>
      <c r="S241" s="44">
        <v>72869.871600000042</v>
      </c>
      <c r="T241" s="44">
        <v>14330.122799999996</v>
      </c>
      <c r="U241" s="44">
        <v>0</v>
      </c>
      <c r="V241" s="44">
        <v>0</v>
      </c>
      <c r="W241" s="44">
        <v>0</v>
      </c>
      <c r="X241" s="44">
        <v>0</v>
      </c>
      <c r="Y241" s="44">
        <v>0</v>
      </c>
      <c r="Z241" s="44">
        <v>0</v>
      </c>
      <c r="AA241" s="44">
        <v>19538.339699999946</v>
      </c>
      <c r="AB241" s="44">
        <v>0</v>
      </c>
      <c r="AC241" s="44">
        <v>94964.251271847999</v>
      </c>
      <c r="AD241" s="44">
        <v>0</v>
      </c>
      <c r="AE241" s="44">
        <v>0</v>
      </c>
      <c r="AF241" s="44">
        <v>0</v>
      </c>
      <c r="AG241" s="44">
        <v>138243.54</v>
      </c>
      <c r="AH241" s="44">
        <v>0</v>
      </c>
      <c r="AI241" s="44">
        <v>0</v>
      </c>
      <c r="AJ241" s="44">
        <v>0</v>
      </c>
      <c r="AK241" s="44">
        <v>5723.9674999999997</v>
      </c>
      <c r="AL241" s="44">
        <v>0</v>
      </c>
      <c r="AM241" s="44">
        <v>0</v>
      </c>
      <c r="AN241" s="44">
        <v>0</v>
      </c>
      <c r="AO241" s="44">
        <v>0</v>
      </c>
      <c r="AP241" s="44">
        <v>0</v>
      </c>
      <c r="AQ241" s="44">
        <v>0</v>
      </c>
      <c r="AR241" s="44">
        <v>0</v>
      </c>
      <c r="AS241" s="44">
        <v>0</v>
      </c>
      <c r="AT241" s="44">
        <v>865029.62919999997</v>
      </c>
      <c r="AU241" s="44">
        <v>442800.87797184818</v>
      </c>
      <c r="AV241" s="44">
        <v>143967.50750000001</v>
      </c>
      <c r="AW241" s="44">
        <v>302364.87623184809</v>
      </c>
      <c r="AX241" s="62">
        <v>1451798.0146718482</v>
      </c>
      <c r="AY241" s="62">
        <v>1446074.0471718481</v>
      </c>
      <c r="AZ241" s="62">
        <v>4610</v>
      </c>
      <c r="BA241" s="62">
        <v>1115620</v>
      </c>
      <c r="BB241" s="62">
        <v>0</v>
      </c>
      <c r="BC241" s="62">
        <v>0</v>
      </c>
      <c r="BD241" s="62">
        <v>1451798.0146718482</v>
      </c>
      <c r="BE241" s="44">
        <v>1451798.0146718482</v>
      </c>
      <c r="BF241" s="44">
        <v>0</v>
      </c>
      <c r="BG241" s="62">
        <v>1121343.9675</v>
      </c>
      <c r="BH241" s="62">
        <v>977376.46</v>
      </c>
      <c r="BI241" s="44">
        <v>1307830.5071718481</v>
      </c>
      <c r="BJ241" s="44">
        <v>5404.2582940985458</v>
      </c>
      <c r="BK241" s="44">
        <v>5313.1173612765951</v>
      </c>
      <c r="BL241" s="45">
        <v>1.7153946849774081E-2</v>
      </c>
      <c r="BM241" s="45">
        <v>0</v>
      </c>
      <c r="BN241" s="44">
        <v>0</v>
      </c>
      <c r="BO241" s="62">
        <v>1451798.0146718482</v>
      </c>
      <c r="BP241" s="62">
        <v>5975.5125916192073</v>
      </c>
      <c r="BQ241" s="62" t="s">
        <v>92</v>
      </c>
      <c r="BR241" s="62">
        <v>5999.1653498836704</v>
      </c>
      <c r="BS241" s="53">
        <v>1.4272962398670153E-2</v>
      </c>
      <c r="BT241" s="44">
        <v>0</v>
      </c>
      <c r="BU241" s="44">
        <v>1451798.0146718482</v>
      </c>
      <c r="BV241" s="44">
        <v>0</v>
      </c>
      <c r="BW241" s="44">
        <v>1451798.0146718482</v>
      </c>
      <c r="BX241" s="44">
        <v>5723.9674999999997</v>
      </c>
      <c r="BY241" s="44">
        <v>1446074.0471718481</v>
      </c>
    </row>
    <row r="242" spans="1:77">
      <c r="A242">
        <v>0</v>
      </c>
      <c r="B242" s="60">
        <v>147009</v>
      </c>
      <c r="C242" s="60">
        <v>3302199</v>
      </c>
      <c r="D242" s="61" t="s">
        <v>949</v>
      </c>
      <c r="E242" s="52">
        <v>345</v>
      </c>
      <c r="F242" s="52">
        <v>345</v>
      </c>
      <c r="G242" s="52">
        <v>0</v>
      </c>
      <c r="H242" s="44">
        <v>1233203.3969999999</v>
      </c>
      <c r="I242" s="44">
        <v>0</v>
      </c>
      <c r="J242" s="44">
        <v>0</v>
      </c>
      <c r="K242" s="44">
        <v>57039.508399999999</v>
      </c>
      <c r="L242" s="44">
        <v>0</v>
      </c>
      <c r="M242" s="44">
        <v>97922.50579999997</v>
      </c>
      <c r="N242" s="44">
        <v>0</v>
      </c>
      <c r="O242" s="44">
        <v>13442.013600000015</v>
      </c>
      <c r="P242" s="44">
        <v>27742.029099999992</v>
      </c>
      <c r="Q242" s="44">
        <v>13843.418899999997</v>
      </c>
      <c r="R242" s="44">
        <v>28715.435699999965</v>
      </c>
      <c r="S242" s="44">
        <v>24289.957199999997</v>
      </c>
      <c r="T242" s="44">
        <v>4776.7076000000079</v>
      </c>
      <c r="U242" s="44">
        <v>0</v>
      </c>
      <c r="V242" s="44">
        <v>0</v>
      </c>
      <c r="W242" s="44">
        <v>0</v>
      </c>
      <c r="X242" s="44">
        <v>0</v>
      </c>
      <c r="Y242" s="44">
        <v>0</v>
      </c>
      <c r="Z242" s="44">
        <v>0</v>
      </c>
      <c r="AA242" s="44">
        <v>16232.937258278151</v>
      </c>
      <c r="AB242" s="44">
        <v>0</v>
      </c>
      <c r="AC242" s="44">
        <v>166235.74165770484</v>
      </c>
      <c r="AD242" s="44">
        <v>0</v>
      </c>
      <c r="AE242" s="44">
        <v>5178.6716986046504</v>
      </c>
      <c r="AF242" s="44">
        <v>0</v>
      </c>
      <c r="AG242" s="44">
        <v>138243.54</v>
      </c>
      <c r="AH242" s="44">
        <v>0</v>
      </c>
      <c r="AI242" s="44">
        <v>0</v>
      </c>
      <c r="AJ242" s="44">
        <v>0</v>
      </c>
      <c r="AK242" s="44">
        <v>6041.9593999999997</v>
      </c>
      <c r="AL242" s="44">
        <v>0</v>
      </c>
      <c r="AM242" s="44">
        <v>0</v>
      </c>
      <c r="AN242" s="44">
        <v>0</v>
      </c>
      <c r="AO242" s="44">
        <v>0</v>
      </c>
      <c r="AP242" s="44">
        <v>0</v>
      </c>
      <c r="AQ242" s="44">
        <v>0</v>
      </c>
      <c r="AR242" s="44">
        <v>0</v>
      </c>
      <c r="AS242" s="44">
        <v>0</v>
      </c>
      <c r="AT242" s="44">
        <v>1233203.3969999999</v>
      </c>
      <c r="AU242" s="44">
        <v>455418.92691458756</v>
      </c>
      <c r="AV242" s="44">
        <v>144285.4994</v>
      </c>
      <c r="AW242" s="44">
        <v>361781.6996577048</v>
      </c>
      <c r="AX242" s="62">
        <v>1832907.8233145876</v>
      </c>
      <c r="AY242" s="62">
        <v>1826865.8639145875</v>
      </c>
      <c r="AZ242" s="62">
        <v>4610</v>
      </c>
      <c r="BA242" s="62">
        <v>1590450</v>
      </c>
      <c r="BB242" s="62">
        <v>0</v>
      </c>
      <c r="BC242" s="62">
        <v>0</v>
      </c>
      <c r="BD242" s="62">
        <v>1832907.8233145876</v>
      </c>
      <c r="BE242" s="44">
        <v>1832907.8233145876</v>
      </c>
      <c r="BF242" s="44">
        <v>0</v>
      </c>
      <c r="BG242" s="62">
        <v>1596491.9594000001</v>
      </c>
      <c r="BH242" s="62">
        <v>1452206.46</v>
      </c>
      <c r="BI242" s="44">
        <v>1688622.3239145875</v>
      </c>
      <c r="BJ242" s="44">
        <v>4894.5574606219925</v>
      </c>
      <c r="BK242" s="44">
        <v>4822.4615936170212</v>
      </c>
      <c r="BL242" s="45">
        <v>1.4950013723364209E-2</v>
      </c>
      <c r="BM242" s="45">
        <v>0</v>
      </c>
      <c r="BN242" s="44">
        <v>0</v>
      </c>
      <c r="BO242" s="62">
        <v>1832907.8233145876</v>
      </c>
      <c r="BP242" s="62">
        <v>5295.2633736654707</v>
      </c>
      <c r="BQ242" s="62" t="s">
        <v>92</v>
      </c>
      <c r="BR242" s="62">
        <v>5312.7762994625728</v>
      </c>
      <c r="BS242" s="53">
        <v>2.0723852255469799E-2</v>
      </c>
      <c r="BT242" s="44">
        <v>0</v>
      </c>
      <c r="BU242" s="44">
        <v>1832907.8233145876</v>
      </c>
      <c r="BV242" s="44">
        <v>0</v>
      </c>
      <c r="BW242" s="44">
        <v>1832907.8233145876</v>
      </c>
      <c r="BX242" s="44">
        <v>6041.9593999999997</v>
      </c>
      <c r="BY242" s="44">
        <v>1826865.8639145875</v>
      </c>
    </row>
    <row r="243" spans="1:77">
      <c r="A243">
        <v>0</v>
      </c>
      <c r="B243" s="60">
        <v>147017</v>
      </c>
      <c r="C243" s="60">
        <v>3302201</v>
      </c>
      <c r="D243" s="61" t="s">
        <v>950</v>
      </c>
      <c r="E243" s="52">
        <v>348</v>
      </c>
      <c r="F243" s="52">
        <v>348</v>
      </c>
      <c r="G243" s="52">
        <v>0</v>
      </c>
      <c r="H243" s="44">
        <v>1243926.9047999999</v>
      </c>
      <c r="I243" s="44">
        <v>0</v>
      </c>
      <c r="J243" s="44">
        <v>0</v>
      </c>
      <c r="K243" s="44">
        <v>49171.989999999925</v>
      </c>
      <c r="L243" s="44">
        <v>0</v>
      </c>
      <c r="M243" s="44">
        <v>87225.089199999929</v>
      </c>
      <c r="N243" s="44">
        <v>0</v>
      </c>
      <c r="O243" s="44">
        <v>12734.539199999963</v>
      </c>
      <c r="P243" s="44">
        <v>8580.0089999999946</v>
      </c>
      <c r="Q243" s="44">
        <v>5358.7428000000073</v>
      </c>
      <c r="R243" s="44">
        <v>29202.137999999955</v>
      </c>
      <c r="S243" s="44">
        <v>27907.610399999918</v>
      </c>
      <c r="T243" s="44">
        <v>12282.962400000004</v>
      </c>
      <c r="U243" s="44">
        <v>0</v>
      </c>
      <c r="V243" s="44">
        <v>0</v>
      </c>
      <c r="W243" s="44">
        <v>0</v>
      </c>
      <c r="X243" s="44">
        <v>0</v>
      </c>
      <c r="Y243" s="44">
        <v>0</v>
      </c>
      <c r="Z243" s="44">
        <v>0</v>
      </c>
      <c r="AA243" s="44">
        <v>17856.858344000007</v>
      </c>
      <c r="AB243" s="44">
        <v>0</v>
      </c>
      <c r="AC243" s="44">
        <v>110566.89441728096</v>
      </c>
      <c r="AD243" s="44">
        <v>0</v>
      </c>
      <c r="AE243" s="44">
        <v>0</v>
      </c>
      <c r="AF243" s="44">
        <v>0</v>
      </c>
      <c r="AG243" s="44">
        <v>138243.54</v>
      </c>
      <c r="AH243" s="44">
        <v>0</v>
      </c>
      <c r="AI243" s="44">
        <v>0</v>
      </c>
      <c r="AJ243" s="44">
        <v>0</v>
      </c>
      <c r="AK243" s="44">
        <v>3550.9765000000002</v>
      </c>
      <c r="AL243" s="44">
        <v>0</v>
      </c>
      <c r="AM243" s="44">
        <v>0</v>
      </c>
      <c r="AN243" s="44">
        <v>0</v>
      </c>
      <c r="AO243" s="44">
        <v>0</v>
      </c>
      <c r="AP243" s="44">
        <v>0</v>
      </c>
      <c r="AQ243" s="44">
        <v>0</v>
      </c>
      <c r="AR243" s="44">
        <v>0</v>
      </c>
      <c r="AS243" s="44">
        <v>0</v>
      </c>
      <c r="AT243" s="44">
        <v>1243926.9047999999</v>
      </c>
      <c r="AU243" s="44">
        <v>360886.83376128069</v>
      </c>
      <c r="AV243" s="44">
        <v>141794.5165</v>
      </c>
      <c r="AW243" s="44">
        <v>288994.78015728079</v>
      </c>
      <c r="AX243" s="62">
        <v>1746608.2550612804</v>
      </c>
      <c r="AY243" s="62">
        <v>1743057.2785612803</v>
      </c>
      <c r="AZ243" s="62">
        <v>4610</v>
      </c>
      <c r="BA243" s="62">
        <v>1604280</v>
      </c>
      <c r="BB243" s="62">
        <v>0</v>
      </c>
      <c r="BC243" s="62">
        <v>0</v>
      </c>
      <c r="BD243" s="62">
        <v>1746608.2550612804</v>
      </c>
      <c r="BE243" s="44">
        <v>1746608.2550612809</v>
      </c>
      <c r="BF243" s="44">
        <v>0</v>
      </c>
      <c r="BG243" s="62">
        <v>1607830.9765000001</v>
      </c>
      <c r="BH243" s="62">
        <v>1466036.46</v>
      </c>
      <c r="BI243" s="44">
        <v>1604813.7385612803</v>
      </c>
      <c r="BJ243" s="44">
        <v>4611.5337314979315</v>
      </c>
      <c r="BK243" s="44">
        <v>4457.0472764179103</v>
      </c>
      <c r="BL243" s="45">
        <v>3.4661165901785224E-2</v>
      </c>
      <c r="BM243" s="45">
        <v>0</v>
      </c>
      <c r="BN243" s="44">
        <v>0</v>
      </c>
      <c r="BO243" s="62">
        <v>1746608.2550612804</v>
      </c>
      <c r="BP243" s="62">
        <v>5008.7852832220697</v>
      </c>
      <c r="BQ243" s="62" t="s">
        <v>92</v>
      </c>
      <c r="BR243" s="62">
        <v>5018.9892386818401</v>
      </c>
      <c r="BS243" s="53">
        <v>2.6960962923233467E-2</v>
      </c>
      <c r="BT243" s="44">
        <v>0</v>
      </c>
      <c r="BU243" s="44">
        <v>1746608.2550612804</v>
      </c>
      <c r="BV243" s="44">
        <v>0</v>
      </c>
      <c r="BW243" s="44">
        <v>1746608.2550612804</v>
      </c>
      <c r="BX243" s="44">
        <v>3550.9765000000002</v>
      </c>
      <c r="BY243" s="44">
        <v>1743057.2785612803</v>
      </c>
    </row>
    <row r="244" spans="1:77">
      <c r="A244">
        <v>0</v>
      </c>
      <c r="B244" s="60">
        <v>147109</v>
      </c>
      <c r="C244" s="60">
        <v>3302202</v>
      </c>
      <c r="D244" s="61" t="s">
        <v>951</v>
      </c>
      <c r="E244" s="52">
        <v>174</v>
      </c>
      <c r="F244" s="52">
        <v>174</v>
      </c>
      <c r="G244" s="52">
        <v>0</v>
      </c>
      <c r="H244" s="44">
        <v>621963.45239999995</v>
      </c>
      <c r="I244" s="44">
        <v>0</v>
      </c>
      <c r="J244" s="44">
        <v>0</v>
      </c>
      <c r="K244" s="44">
        <v>34420.393000000025</v>
      </c>
      <c r="L244" s="44">
        <v>0</v>
      </c>
      <c r="M244" s="44">
        <v>58424.352199999965</v>
      </c>
      <c r="N244" s="44">
        <v>0</v>
      </c>
      <c r="O244" s="44">
        <v>8253.8679999999877</v>
      </c>
      <c r="P244" s="44">
        <v>4290.0044999999973</v>
      </c>
      <c r="Q244" s="44">
        <v>16076.228400000005</v>
      </c>
      <c r="R244" s="44">
        <v>21901.603499999965</v>
      </c>
      <c r="S244" s="44">
        <v>14470.612799999994</v>
      </c>
      <c r="T244" s="44">
        <v>2047.1603999999966</v>
      </c>
      <c r="U244" s="44">
        <v>0</v>
      </c>
      <c r="V244" s="44">
        <v>0</v>
      </c>
      <c r="W244" s="44">
        <v>0</v>
      </c>
      <c r="X244" s="44">
        <v>0</v>
      </c>
      <c r="Y244" s="44">
        <v>0</v>
      </c>
      <c r="Z244" s="44">
        <v>0</v>
      </c>
      <c r="AA244" s="44">
        <v>36555.603309677383</v>
      </c>
      <c r="AB244" s="44">
        <v>0</v>
      </c>
      <c r="AC244" s="44">
        <v>91017.972745768406</v>
      </c>
      <c r="AD244" s="44">
        <v>0</v>
      </c>
      <c r="AE244" s="44">
        <v>6319.7045760000083</v>
      </c>
      <c r="AF244" s="44">
        <v>0</v>
      </c>
      <c r="AG244" s="44">
        <v>138243.54</v>
      </c>
      <c r="AH244" s="44">
        <v>0</v>
      </c>
      <c r="AI244" s="44">
        <v>0</v>
      </c>
      <c r="AJ244" s="44">
        <v>0</v>
      </c>
      <c r="AK244" s="44">
        <v>7754.3137999999999</v>
      </c>
      <c r="AL244" s="44">
        <v>0</v>
      </c>
      <c r="AM244" s="44">
        <v>0</v>
      </c>
      <c r="AN244" s="44">
        <v>0</v>
      </c>
      <c r="AO244" s="44">
        <v>0</v>
      </c>
      <c r="AP244" s="44">
        <v>0</v>
      </c>
      <c r="AQ244" s="44">
        <v>0</v>
      </c>
      <c r="AR244" s="44">
        <v>0</v>
      </c>
      <c r="AS244" s="44">
        <v>0</v>
      </c>
      <c r="AT244" s="44">
        <v>621963.45239999995</v>
      </c>
      <c r="AU244" s="44">
        <v>293777.50343144569</v>
      </c>
      <c r="AV244" s="44">
        <v>145997.85380000001</v>
      </c>
      <c r="AW244" s="44">
        <v>202058.2567657684</v>
      </c>
      <c r="AX244" s="62">
        <v>1061738.8096314457</v>
      </c>
      <c r="AY244" s="62">
        <v>1053984.4958314458</v>
      </c>
      <c r="AZ244" s="62">
        <v>4610</v>
      </c>
      <c r="BA244" s="62">
        <v>802140</v>
      </c>
      <c r="BB244" s="62">
        <v>0</v>
      </c>
      <c r="BC244" s="62">
        <v>0</v>
      </c>
      <c r="BD244" s="62">
        <v>1061738.8096314457</v>
      </c>
      <c r="BE244" s="44">
        <v>1061738.8096314457</v>
      </c>
      <c r="BF244" s="44">
        <v>0</v>
      </c>
      <c r="BG244" s="62">
        <v>809894.3138</v>
      </c>
      <c r="BH244" s="62">
        <v>663896.46</v>
      </c>
      <c r="BI244" s="44">
        <v>915740.95583144564</v>
      </c>
      <c r="BJ244" s="44">
        <v>5262.8790565025611</v>
      </c>
      <c r="BK244" s="44">
        <v>5235.9839338983047</v>
      </c>
      <c r="BL244" s="45">
        <v>5.1365937985665949E-3</v>
      </c>
      <c r="BM244" s="45">
        <v>0</v>
      </c>
      <c r="BN244" s="44">
        <v>0</v>
      </c>
      <c r="BO244" s="62">
        <v>1061738.8096314457</v>
      </c>
      <c r="BP244" s="62">
        <v>6057.3821599508383</v>
      </c>
      <c r="BQ244" s="62" t="s">
        <v>92</v>
      </c>
      <c r="BR244" s="62">
        <v>6101.9471817899175</v>
      </c>
      <c r="BS244" s="53">
        <v>1.0842148705982435E-2</v>
      </c>
      <c r="BT244" s="44">
        <v>0</v>
      </c>
      <c r="BU244" s="44">
        <v>1061738.8096314457</v>
      </c>
      <c r="BV244" s="44">
        <v>0</v>
      </c>
      <c r="BW244" s="44">
        <v>1061738.8096314457</v>
      </c>
      <c r="BX244" s="44">
        <v>7754.3137999999999</v>
      </c>
      <c r="BY244" s="44">
        <v>1053984.4958314458</v>
      </c>
    </row>
    <row r="245" spans="1:77">
      <c r="A245">
        <v>0</v>
      </c>
      <c r="B245" s="60">
        <v>147111</v>
      </c>
      <c r="C245" s="60">
        <v>3302204</v>
      </c>
      <c r="D245" s="61" t="s">
        <v>952</v>
      </c>
      <c r="E245" s="52">
        <v>303</v>
      </c>
      <c r="F245" s="52">
        <v>303</v>
      </c>
      <c r="G245" s="52">
        <v>0</v>
      </c>
      <c r="H245" s="44">
        <v>1083074.2878</v>
      </c>
      <c r="I245" s="44">
        <v>0</v>
      </c>
      <c r="J245" s="44">
        <v>0</v>
      </c>
      <c r="K245" s="44">
        <v>71791.105400000029</v>
      </c>
      <c r="L245" s="44">
        <v>0</v>
      </c>
      <c r="M245" s="44">
        <v>125900.3646</v>
      </c>
      <c r="N245" s="44">
        <v>0</v>
      </c>
      <c r="O245" s="44">
        <v>7546.3936000000285</v>
      </c>
      <c r="P245" s="44">
        <v>2002.0020999999999</v>
      </c>
      <c r="Q245" s="44">
        <v>893.12379999999985</v>
      </c>
      <c r="R245" s="44">
        <v>8273.9390999999978</v>
      </c>
      <c r="S245" s="44">
        <v>44962.261199999979</v>
      </c>
      <c r="T245" s="44">
        <v>25930.698399999914</v>
      </c>
      <c r="U245" s="44">
        <v>0</v>
      </c>
      <c r="V245" s="44">
        <v>0</v>
      </c>
      <c r="W245" s="44">
        <v>0</v>
      </c>
      <c r="X245" s="44">
        <v>0</v>
      </c>
      <c r="Y245" s="44">
        <v>0</v>
      </c>
      <c r="Z245" s="44">
        <v>0</v>
      </c>
      <c r="AA245" s="44">
        <v>19714.009087912109</v>
      </c>
      <c r="AB245" s="44">
        <v>0</v>
      </c>
      <c r="AC245" s="44">
        <v>145097.63327926828</v>
      </c>
      <c r="AD245" s="44">
        <v>0</v>
      </c>
      <c r="AE245" s="44">
        <v>23910.833472000024</v>
      </c>
      <c r="AF245" s="44">
        <v>0</v>
      </c>
      <c r="AG245" s="44">
        <v>138243.54</v>
      </c>
      <c r="AH245" s="44">
        <v>0</v>
      </c>
      <c r="AI245" s="44">
        <v>0</v>
      </c>
      <c r="AJ245" s="44">
        <v>0</v>
      </c>
      <c r="AK245" s="44">
        <v>0</v>
      </c>
      <c r="AL245" s="44">
        <v>0</v>
      </c>
      <c r="AM245" s="44">
        <v>0</v>
      </c>
      <c r="AN245" s="44">
        <v>0</v>
      </c>
      <c r="AO245" s="44">
        <v>0</v>
      </c>
      <c r="AP245" s="44">
        <v>0</v>
      </c>
      <c r="AQ245" s="44">
        <v>0</v>
      </c>
      <c r="AR245" s="44">
        <v>0</v>
      </c>
      <c r="AS245" s="44">
        <v>0</v>
      </c>
      <c r="AT245" s="44">
        <v>1083074.2878</v>
      </c>
      <c r="AU245" s="44">
        <v>476022.36403918039</v>
      </c>
      <c r="AV245" s="44">
        <v>138243.54</v>
      </c>
      <c r="AW245" s="44">
        <v>342901.29176926822</v>
      </c>
      <c r="AX245" s="62">
        <v>1697340.1918391804</v>
      </c>
      <c r="AY245" s="62">
        <v>1697340.1918391804</v>
      </c>
      <c r="AZ245" s="62">
        <v>4610</v>
      </c>
      <c r="BA245" s="62">
        <v>1396830</v>
      </c>
      <c r="BB245" s="62">
        <v>0</v>
      </c>
      <c r="BC245" s="62">
        <v>0</v>
      </c>
      <c r="BD245" s="62">
        <v>1697340.1918391804</v>
      </c>
      <c r="BE245" s="44">
        <v>1697340.1918391804</v>
      </c>
      <c r="BF245" s="44">
        <v>0</v>
      </c>
      <c r="BG245" s="62">
        <v>1396830</v>
      </c>
      <c r="BH245" s="62">
        <v>1258586.46</v>
      </c>
      <c r="BI245" s="44">
        <v>1559096.6518391804</v>
      </c>
      <c r="BJ245" s="44">
        <v>5145.5335044197373</v>
      </c>
      <c r="BK245" s="44">
        <v>4950.8991729452046</v>
      </c>
      <c r="BL245" s="45">
        <v>3.9312925728347665E-2</v>
      </c>
      <c r="BM245" s="45">
        <v>0</v>
      </c>
      <c r="BN245" s="44">
        <v>0</v>
      </c>
      <c r="BO245" s="62">
        <v>1697340.1918391804</v>
      </c>
      <c r="BP245" s="62">
        <v>5601.7828113504302</v>
      </c>
      <c r="BQ245" s="62" t="s">
        <v>92</v>
      </c>
      <c r="BR245" s="62">
        <v>5601.7828113504302</v>
      </c>
      <c r="BS245" s="53">
        <v>2.7827737042525502E-2</v>
      </c>
      <c r="BT245" s="44">
        <v>0</v>
      </c>
      <c r="BU245" s="44">
        <v>1697340.1918391804</v>
      </c>
      <c r="BV245" s="44">
        <v>0</v>
      </c>
      <c r="BW245" s="44">
        <v>1697340.1918391804</v>
      </c>
      <c r="BX245" s="44">
        <v>0</v>
      </c>
      <c r="BY245" s="44">
        <v>1697340.1918391804</v>
      </c>
    </row>
    <row r="246" spans="1:77">
      <c r="A246">
        <v>0</v>
      </c>
      <c r="B246" s="60">
        <v>147452</v>
      </c>
      <c r="C246" s="60">
        <v>3302205</v>
      </c>
      <c r="D246" s="61" t="s">
        <v>953</v>
      </c>
      <c r="E246" s="52">
        <v>420</v>
      </c>
      <c r="F246" s="52">
        <v>420</v>
      </c>
      <c r="G246" s="52">
        <v>0</v>
      </c>
      <c r="H246" s="44">
        <v>1501291.0919999999</v>
      </c>
      <c r="I246" s="44">
        <v>0</v>
      </c>
      <c r="J246" s="44">
        <v>0</v>
      </c>
      <c r="K246" s="44">
        <v>65398.746700000069</v>
      </c>
      <c r="L246" s="44">
        <v>0</v>
      </c>
      <c r="M246" s="44">
        <v>113557.19160000017</v>
      </c>
      <c r="N246" s="44">
        <v>0</v>
      </c>
      <c r="O246" s="44">
        <v>6131.4447999999993</v>
      </c>
      <c r="P246" s="44">
        <v>26598.027899999946</v>
      </c>
      <c r="Q246" s="44">
        <v>50014.932800000061</v>
      </c>
      <c r="R246" s="44">
        <v>37962.77940000005</v>
      </c>
      <c r="S246" s="44">
        <v>37726.954800000043</v>
      </c>
      <c r="T246" s="44">
        <v>13647.735999999995</v>
      </c>
      <c r="U246" s="44">
        <v>0</v>
      </c>
      <c r="V246" s="44">
        <v>0</v>
      </c>
      <c r="W246" s="44">
        <v>0</v>
      </c>
      <c r="X246" s="44">
        <v>0</v>
      </c>
      <c r="Y246" s="44">
        <v>0</v>
      </c>
      <c r="Z246" s="44">
        <v>0</v>
      </c>
      <c r="AA246" s="44">
        <v>123644.13961666664</v>
      </c>
      <c r="AB246" s="44">
        <v>0</v>
      </c>
      <c r="AC246" s="44">
        <v>96197.87258625582</v>
      </c>
      <c r="AD246" s="44">
        <v>0</v>
      </c>
      <c r="AE246" s="44">
        <v>0</v>
      </c>
      <c r="AF246" s="44">
        <v>0</v>
      </c>
      <c r="AG246" s="44">
        <v>138243.54</v>
      </c>
      <c r="AH246" s="44">
        <v>0</v>
      </c>
      <c r="AI246" s="44">
        <v>0</v>
      </c>
      <c r="AJ246" s="44">
        <v>0</v>
      </c>
      <c r="AK246" s="44">
        <v>0</v>
      </c>
      <c r="AL246" s="44">
        <v>0</v>
      </c>
      <c r="AM246" s="44">
        <v>0</v>
      </c>
      <c r="AN246" s="44">
        <v>0</v>
      </c>
      <c r="AO246" s="44">
        <v>0</v>
      </c>
      <c r="AP246" s="44">
        <v>0</v>
      </c>
      <c r="AQ246" s="44">
        <v>0</v>
      </c>
      <c r="AR246" s="44">
        <v>0</v>
      </c>
      <c r="AS246" s="44">
        <v>0</v>
      </c>
      <c r="AT246" s="44">
        <v>1501291.0919999999</v>
      </c>
      <c r="AU246" s="44">
        <v>570879.82620292285</v>
      </c>
      <c r="AV246" s="44">
        <v>138243.54</v>
      </c>
      <c r="AW246" s="44">
        <v>346781.33418625599</v>
      </c>
      <c r="AX246" s="62">
        <v>2210414.4582029227</v>
      </c>
      <c r="AY246" s="62">
        <v>2210414.4582029227</v>
      </c>
      <c r="AZ246" s="62">
        <v>4610</v>
      </c>
      <c r="BA246" s="62">
        <v>1936200</v>
      </c>
      <c r="BB246" s="62">
        <v>0</v>
      </c>
      <c r="BC246" s="62">
        <v>0</v>
      </c>
      <c r="BD246" s="62">
        <v>2210414.4582029227</v>
      </c>
      <c r="BE246" s="44">
        <v>2210414.4582029227</v>
      </c>
      <c r="BF246" s="44">
        <v>0</v>
      </c>
      <c r="BG246" s="62">
        <v>1936200</v>
      </c>
      <c r="BH246" s="62">
        <v>1797956.46</v>
      </c>
      <c r="BI246" s="44">
        <v>2072170.9182029227</v>
      </c>
      <c r="BJ246" s="44">
        <v>4933.7402814355301</v>
      </c>
      <c r="BK246" s="44">
        <v>4887.2146697619046</v>
      </c>
      <c r="BL246" s="45">
        <v>9.5198625019457354E-3</v>
      </c>
      <c r="BM246" s="45">
        <v>0</v>
      </c>
      <c r="BN246" s="44">
        <v>0</v>
      </c>
      <c r="BO246" s="62">
        <v>2210414.4582029227</v>
      </c>
      <c r="BP246" s="62">
        <v>5262.8915671498162</v>
      </c>
      <c r="BQ246" s="62" t="s">
        <v>92</v>
      </c>
      <c r="BR246" s="62">
        <v>5262.8915671498162</v>
      </c>
      <c r="BS246" s="53">
        <v>8.9191617441608528E-3</v>
      </c>
      <c r="BT246" s="44">
        <v>0</v>
      </c>
      <c r="BU246" s="44">
        <v>2210414.4582029227</v>
      </c>
      <c r="BV246" s="44">
        <v>0</v>
      </c>
      <c r="BW246" s="44">
        <v>2210414.4582029227</v>
      </c>
      <c r="BX246" s="44">
        <v>0</v>
      </c>
      <c r="BY246" s="44">
        <v>2210414.4582029227</v>
      </c>
    </row>
    <row r="247" spans="1:77">
      <c r="A247">
        <v>0</v>
      </c>
      <c r="B247" s="60">
        <v>147758</v>
      </c>
      <c r="C247" s="60">
        <v>3302206</v>
      </c>
      <c r="D247" s="61" t="s">
        <v>954</v>
      </c>
      <c r="E247" s="52">
        <v>406</v>
      </c>
      <c r="F247" s="52">
        <v>406</v>
      </c>
      <c r="G247" s="52">
        <v>0</v>
      </c>
      <c r="H247" s="44">
        <v>1451248.0555999998</v>
      </c>
      <c r="I247" s="44">
        <v>0</v>
      </c>
      <c r="J247" s="44">
        <v>0</v>
      </c>
      <c r="K247" s="44">
        <v>106703.21830000005</v>
      </c>
      <c r="L247" s="44">
        <v>0</v>
      </c>
      <c r="M247" s="44">
        <v>192553.49880000009</v>
      </c>
      <c r="N247" s="44">
        <v>0</v>
      </c>
      <c r="O247" s="44">
        <v>19101.808800000043</v>
      </c>
      <c r="P247" s="44">
        <v>17160.017999999985</v>
      </c>
      <c r="Q247" s="44">
        <v>5358.7427999999964</v>
      </c>
      <c r="R247" s="44">
        <v>41856.397799999962</v>
      </c>
      <c r="S247" s="44">
        <v>7752.114000000005</v>
      </c>
      <c r="T247" s="44">
        <v>85980.736800000028</v>
      </c>
      <c r="U247" s="44">
        <v>0</v>
      </c>
      <c r="V247" s="44">
        <v>0</v>
      </c>
      <c r="W247" s="44">
        <v>0</v>
      </c>
      <c r="X247" s="44">
        <v>0</v>
      </c>
      <c r="Y247" s="44">
        <v>0</v>
      </c>
      <c r="Z247" s="44">
        <v>0</v>
      </c>
      <c r="AA247" s="44">
        <v>90657.896207999976</v>
      </c>
      <c r="AB247" s="44">
        <v>0</v>
      </c>
      <c r="AC247" s="44">
        <v>273213.15670031001</v>
      </c>
      <c r="AD247" s="44">
        <v>0</v>
      </c>
      <c r="AE247" s="44">
        <v>43004.818943999941</v>
      </c>
      <c r="AF247" s="44">
        <v>0</v>
      </c>
      <c r="AG247" s="44">
        <v>138243.54</v>
      </c>
      <c r="AH247" s="44">
        <v>0</v>
      </c>
      <c r="AI247" s="44">
        <v>0</v>
      </c>
      <c r="AJ247" s="44">
        <v>0</v>
      </c>
      <c r="AK247" s="44">
        <v>0</v>
      </c>
      <c r="AL247" s="44">
        <v>0</v>
      </c>
      <c r="AM247" s="44">
        <v>0</v>
      </c>
      <c r="AN247" s="44">
        <v>0</v>
      </c>
      <c r="AO247" s="44">
        <v>0</v>
      </c>
      <c r="AP247" s="44">
        <v>0</v>
      </c>
      <c r="AQ247" s="44">
        <v>0</v>
      </c>
      <c r="AR247" s="44">
        <v>0</v>
      </c>
      <c r="AS247" s="44">
        <v>0</v>
      </c>
      <c r="AT247" s="44">
        <v>1451248.0555999998</v>
      </c>
      <c r="AU247" s="44">
        <v>883342.40715231001</v>
      </c>
      <c r="AV247" s="44">
        <v>138243.54</v>
      </c>
      <c r="AW247" s="44">
        <v>584008.82713031012</v>
      </c>
      <c r="AX247" s="62">
        <v>2472834.0027523097</v>
      </c>
      <c r="AY247" s="62">
        <v>2472834.0027523097</v>
      </c>
      <c r="AZ247" s="62">
        <v>4610</v>
      </c>
      <c r="BA247" s="62">
        <v>1871660</v>
      </c>
      <c r="BB247" s="62">
        <v>0</v>
      </c>
      <c r="BC247" s="62">
        <v>0</v>
      </c>
      <c r="BD247" s="62">
        <v>2472834.0027523097</v>
      </c>
      <c r="BE247" s="44">
        <v>2472834.0027523097</v>
      </c>
      <c r="BF247" s="44">
        <v>0</v>
      </c>
      <c r="BG247" s="62">
        <v>1871660</v>
      </c>
      <c r="BH247" s="62">
        <v>1733416.46</v>
      </c>
      <c r="BI247" s="44">
        <v>2334590.4627523096</v>
      </c>
      <c r="BJ247" s="44">
        <v>5750.2228146608613</v>
      </c>
      <c r="BK247" s="44">
        <v>5569.5522113695097</v>
      </c>
      <c r="BL247" s="45">
        <v>3.2438981884851774E-2</v>
      </c>
      <c r="BM247" s="45">
        <v>0</v>
      </c>
      <c r="BN247" s="44">
        <v>0</v>
      </c>
      <c r="BO247" s="62">
        <v>2472834.0027523097</v>
      </c>
      <c r="BP247" s="62">
        <v>6090.7241447101223</v>
      </c>
      <c r="BQ247" s="62" t="s">
        <v>92</v>
      </c>
      <c r="BR247" s="62">
        <v>6090.7241447101223</v>
      </c>
      <c r="BS247" s="53">
        <v>2.7663207015512725E-2</v>
      </c>
      <c r="BT247" s="44">
        <v>0</v>
      </c>
      <c r="BU247" s="44">
        <v>2472834.0027523097</v>
      </c>
      <c r="BV247" s="44">
        <v>0</v>
      </c>
      <c r="BW247" s="44">
        <v>2472834.0027523097</v>
      </c>
      <c r="BX247" s="44">
        <v>0</v>
      </c>
      <c r="BY247" s="44">
        <v>2472834.0027523097</v>
      </c>
    </row>
    <row r="248" spans="1:77">
      <c r="A248">
        <v>0</v>
      </c>
      <c r="B248" s="60">
        <v>149131</v>
      </c>
      <c r="C248" s="60">
        <v>3302209</v>
      </c>
      <c r="D248" s="61" t="s">
        <v>955</v>
      </c>
      <c r="E248" s="52">
        <v>400</v>
      </c>
      <c r="F248" s="52">
        <v>400</v>
      </c>
      <c r="G248" s="52">
        <v>0</v>
      </c>
      <c r="H248" s="44">
        <v>1429801.04</v>
      </c>
      <c r="I248" s="44">
        <v>0</v>
      </c>
      <c r="J248" s="44">
        <v>0</v>
      </c>
      <c r="K248" s="44">
        <v>66382.186499999996</v>
      </c>
      <c r="L248" s="44">
        <v>0</v>
      </c>
      <c r="M248" s="44">
        <v>111911.43519999999</v>
      </c>
      <c r="N248" s="44">
        <v>0</v>
      </c>
      <c r="O248" s="44">
        <v>11555.415200000001</v>
      </c>
      <c r="P248" s="44">
        <v>35464.037199999999</v>
      </c>
      <c r="Q248" s="44">
        <v>4465.6189999999997</v>
      </c>
      <c r="R248" s="44">
        <v>2433.5115000000001</v>
      </c>
      <c r="S248" s="44">
        <v>37210.147199999999</v>
      </c>
      <c r="T248" s="44">
        <v>33436.953199999996</v>
      </c>
      <c r="U248" s="44">
        <v>0</v>
      </c>
      <c r="V248" s="44">
        <v>0</v>
      </c>
      <c r="W248" s="44">
        <v>0</v>
      </c>
      <c r="X248" s="44">
        <v>0</v>
      </c>
      <c r="Y248" s="44">
        <v>0</v>
      </c>
      <c r="Z248" s="44">
        <v>0</v>
      </c>
      <c r="AA248" s="44">
        <v>17062.561959654191</v>
      </c>
      <c r="AB248" s="44">
        <v>0</v>
      </c>
      <c r="AC248" s="44">
        <v>167630.57309734522</v>
      </c>
      <c r="AD248" s="44">
        <v>0</v>
      </c>
      <c r="AE248" s="44">
        <v>0</v>
      </c>
      <c r="AF248" s="44">
        <v>0</v>
      </c>
      <c r="AG248" s="44">
        <v>138243.54</v>
      </c>
      <c r="AH248" s="44">
        <v>0</v>
      </c>
      <c r="AI248" s="44">
        <v>0</v>
      </c>
      <c r="AJ248" s="44">
        <v>0</v>
      </c>
      <c r="AK248" s="44">
        <v>6624.96</v>
      </c>
      <c r="AL248" s="44">
        <v>0</v>
      </c>
      <c r="AM248" s="44">
        <v>0</v>
      </c>
      <c r="AN248" s="44">
        <v>0</v>
      </c>
      <c r="AO248" s="44">
        <v>0</v>
      </c>
      <c r="AP248" s="44">
        <v>0</v>
      </c>
      <c r="AQ248" s="44">
        <v>0</v>
      </c>
      <c r="AR248" s="44">
        <v>0</v>
      </c>
      <c r="AS248" s="44">
        <v>0</v>
      </c>
      <c r="AT248" s="44">
        <v>1429801.04</v>
      </c>
      <c r="AU248" s="44">
        <v>487552.44005699933</v>
      </c>
      <c r="AV248" s="44">
        <v>144868.5</v>
      </c>
      <c r="AW248" s="44">
        <v>390550.27759734524</v>
      </c>
      <c r="AX248" s="62">
        <v>2062221.9800569993</v>
      </c>
      <c r="AY248" s="62">
        <v>2055597.0200569993</v>
      </c>
      <c r="AZ248" s="62">
        <v>4610</v>
      </c>
      <c r="BA248" s="62">
        <v>1844000</v>
      </c>
      <c r="BB248" s="62">
        <v>0</v>
      </c>
      <c r="BC248" s="62">
        <v>0</v>
      </c>
      <c r="BD248" s="62">
        <v>2062221.9800569993</v>
      </c>
      <c r="BE248" s="44">
        <v>2062221.9800569993</v>
      </c>
      <c r="BF248" s="44">
        <v>0</v>
      </c>
      <c r="BG248" s="62">
        <v>1850624.96</v>
      </c>
      <c r="BH248" s="62">
        <v>1705756.46</v>
      </c>
      <c r="BI248" s="44">
        <v>1917353.4800569993</v>
      </c>
      <c r="BJ248" s="44">
        <v>4793.3837001424981</v>
      </c>
      <c r="BK248" s="44">
        <v>4664.10068125</v>
      </c>
      <c r="BL248" s="45">
        <v>2.7718745311872153E-2</v>
      </c>
      <c r="BM248" s="45">
        <v>0</v>
      </c>
      <c r="BN248" s="44">
        <v>0</v>
      </c>
      <c r="BO248" s="62">
        <v>2062221.9800569993</v>
      </c>
      <c r="BP248" s="62">
        <v>5138.9925501424987</v>
      </c>
      <c r="BQ248" s="62" t="s">
        <v>92</v>
      </c>
      <c r="BR248" s="62">
        <v>5155.5549501424985</v>
      </c>
      <c r="BS248" s="53">
        <v>1.580965992647787E-2</v>
      </c>
      <c r="BT248" s="44">
        <v>0</v>
      </c>
      <c r="BU248" s="44">
        <v>2062221.9800569993</v>
      </c>
      <c r="BV248" s="44">
        <v>0</v>
      </c>
      <c r="BW248" s="44">
        <v>2062221.9800569993</v>
      </c>
      <c r="BX248" s="44">
        <v>6624.96</v>
      </c>
      <c r="BY248" s="44">
        <v>2055597.0200569993</v>
      </c>
    </row>
    <row r="249" spans="1:77">
      <c r="A249">
        <v>0</v>
      </c>
      <c r="B249" s="60">
        <v>149483</v>
      </c>
      <c r="C249" s="60">
        <v>3302210</v>
      </c>
      <c r="D249" s="61" t="s">
        <v>956</v>
      </c>
      <c r="E249" s="52">
        <v>177</v>
      </c>
      <c r="F249" s="52">
        <v>177</v>
      </c>
      <c r="G249" s="52">
        <v>0</v>
      </c>
      <c r="H249" s="44">
        <v>632686.96019999997</v>
      </c>
      <c r="I249" s="44">
        <v>0</v>
      </c>
      <c r="J249" s="44">
        <v>0</v>
      </c>
      <c r="K249" s="44">
        <v>50155.429799999998</v>
      </c>
      <c r="L249" s="44">
        <v>0</v>
      </c>
      <c r="M249" s="44">
        <v>90516.601999999955</v>
      </c>
      <c r="N249" s="44">
        <v>0</v>
      </c>
      <c r="O249" s="44">
        <v>1897.3177090909112</v>
      </c>
      <c r="P249" s="44">
        <v>9779.2602579545346</v>
      </c>
      <c r="Q249" s="44">
        <v>29191.446928977286</v>
      </c>
      <c r="R249" s="44">
        <v>7831.4824636363628</v>
      </c>
      <c r="S249" s="44">
        <v>11434.36815</v>
      </c>
      <c r="T249" s="44">
        <v>10293.959965909087</v>
      </c>
      <c r="U249" s="44">
        <v>0</v>
      </c>
      <c r="V249" s="44">
        <v>0</v>
      </c>
      <c r="W249" s="44">
        <v>0</v>
      </c>
      <c r="X249" s="44">
        <v>0</v>
      </c>
      <c r="Y249" s="44">
        <v>0</v>
      </c>
      <c r="Z249" s="44">
        <v>0</v>
      </c>
      <c r="AA249" s="44">
        <v>20024.818337579651</v>
      </c>
      <c r="AB249" s="44">
        <v>0</v>
      </c>
      <c r="AC249" s="44">
        <v>67315.102529566168</v>
      </c>
      <c r="AD249" s="44">
        <v>0</v>
      </c>
      <c r="AE249" s="44">
        <v>6146.2980480000006</v>
      </c>
      <c r="AF249" s="44">
        <v>0</v>
      </c>
      <c r="AG249" s="44">
        <v>138243.54</v>
      </c>
      <c r="AH249" s="44">
        <v>0</v>
      </c>
      <c r="AI249" s="44">
        <v>0</v>
      </c>
      <c r="AJ249" s="44">
        <v>0</v>
      </c>
      <c r="AK249" s="44">
        <v>22856.8845</v>
      </c>
      <c r="AL249" s="44">
        <v>0</v>
      </c>
      <c r="AM249" s="44">
        <v>0</v>
      </c>
      <c r="AN249" s="44">
        <v>0</v>
      </c>
      <c r="AO249" s="44">
        <v>0</v>
      </c>
      <c r="AP249" s="44">
        <v>0</v>
      </c>
      <c r="AQ249" s="44">
        <v>0</v>
      </c>
      <c r="AR249" s="44">
        <v>0</v>
      </c>
      <c r="AS249" s="44">
        <v>0</v>
      </c>
      <c r="AT249" s="44">
        <v>632686.96019999997</v>
      </c>
      <c r="AU249" s="44">
        <v>304586.08619071398</v>
      </c>
      <c r="AV249" s="44">
        <v>161100.42450000002</v>
      </c>
      <c r="AW249" s="44">
        <v>204499.38417735026</v>
      </c>
      <c r="AX249" s="62">
        <v>1098373.4708907139</v>
      </c>
      <c r="AY249" s="62">
        <v>1075516.5863907139</v>
      </c>
      <c r="AZ249" s="62">
        <v>4610</v>
      </c>
      <c r="BA249" s="62">
        <v>815970</v>
      </c>
      <c r="BB249" s="62">
        <v>0</v>
      </c>
      <c r="BC249" s="62">
        <v>0</v>
      </c>
      <c r="BD249" s="62">
        <v>1098373.4708907139</v>
      </c>
      <c r="BE249" s="44">
        <v>1098373.4708907139</v>
      </c>
      <c r="BF249" s="44">
        <v>0</v>
      </c>
      <c r="BG249" s="62">
        <v>838826.88450000004</v>
      </c>
      <c r="BH249" s="62">
        <v>677726.46</v>
      </c>
      <c r="BI249" s="44">
        <v>937273.04639071377</v>
      </c>
      <c r="BJ249" s="44">
        <v>5295.3279457102471</v>
      </c>
      <c r="BK249" s="44">
        <v>5129.1388261627908</v>
      </c>
      <c r="BL249" s="45">
        <v>3.240097902980444E-2</v>
      </c>
      <c r="BM249" s="45">
        <v>0</v>
      </c>
      <c r="BN249" s="44">
        <v>0</v>
      </c>
      <c r="BO249" s="62">
        <v>1098373.4708907139</v>
      </c>
      <c r="BP249" s="62">
        <v>6076.3648948627906</v>
      </c>
      <c r="BQ249" s="62" t="s">
        <v>92</v>
      </c>
      <c r="BR249" s="62">
        <v>6205.4998355407561</v>
      </c>
      <c r="BS249" s="53">
        <v>3.0753930823641973E-2</v>
      </c>
      <c r="BT249" s="44">
        <v>0</v>
      </c>
      <c r="BU249" s="44">
        <v>1098373.4708907139</v>
      </c>
      <c r="BV249" s="44">
        <v>0</v>
      </c>
      <c r="BW249" s="44">
        <v>1098373.4708907139</v>
      </c>
      <c r="BX249" s="44">
        <v>22856.8845</v>
      </c>
      <c r="BY249" s="44">
        <v>1075516.5863907139</v>
      </c>
    </row>
    <row r="250" spans="1:77">
      <c r="A250">
        <v>0</v>
      </c>
      <c r="B250" s="60">
        <v>150054</v>
      </c>
      <c r="C250" s="60">
        <v>3302211</v>
      </c>
      <c r="D250" s="61" t="s">
        <v>957</v>
      </c>
      <c r="E250" s="52">
        <v>380</v>
      </c>
      <c r="F250" s="52">
        <v>380</v>
      </c>
      <c r="G250" s="52">
        <v>0</v>
      </c>
      <c r="H250" s="44">
        <v>1358310.9879999999</v>
      </c>
      <c r="I250" s="44">
        <v>0</v>
      </c>
      <c r="J250" s="44">
        <v>0</v>
      </c>
      <c r="K250" s="44">
        <v>97852.260100000029</v>
      </c>
      <c r="L250" s="44">
        <v>0</v>
      </c>
      <c r="M250" s="44">
        <v>170335.78739999991</v>
      </c>
      <c r="N250" s="44">
        <v>0</v>
      </c>
      <c r="O250" s="44">
        <v>14149.487999999978</v>
      </c>
      <c r="P250" s="44">
        <v>10010.010499999995</v>
      </c>
      <c r="Q250" s="44">
        <v>4019.0571000000014</v>
      </c>
      <c r="R250" s="44">
        <v>36502.672500000073</v>
      </c>
      <c r="S250" s="44">
        <v>88374.099600000001</v>
      </c>
      <c r="T250" s="44">
        <v>5459.0944000000081</v>
      </c>
      <c r="U250" s="44">
        <v>0</v>
      </c>
      <c r="V250" s="44">
        <v>0</v>
      </c>
      <c r="W250" s="44">
        <v>0</v>
      </c>
      <c r="X250" s="44">
        <v>0</v>
      </c>
      <c r="Y250" s="44">
        <v>0</v>
      </c>
      <c r="Z250" s="44">
        <v>0</v>
      </c>
      <c r="AA250" s="44">
        <v>53728.224955223945</v>
      </c>
      <c r="AB250" s="44">
        <v>0</v>
      </c>
      <c r="AC250" s="44">
        <v>194845.69874660004</v>
      </c>
      <c r="AD250" s="44">
        <v>0</v>
      </c>
      <c r="AE250" s="44">
        <v>16569.957120000061</v>
      </c>
      <c r="AF250" s="44">
        <v>0</v>
      </c>
      <c r="AG250" s="44">
        <v>138243.54</v>
      </c>
      <c r="AH250" s="44">
        <v>0</v>
      </c>
      <c r="AI250" s="44">
        <v>0</v>
      </c>
      <c r="AJ250" s="44">
        <v>0</v>
      </c>
      <c r="AK250" s="44">
        <v>10493.938700000001</v>
      </c>
      <c r="AL250" s="44">
        <v>202977.17</v>
      </c>
      <c r="AM250" s="44">
        <v>96770.48</v>
      </c>
      <c r="AN250" s="44">
        <v>0</v>
      </c>
      <c r="AO250" s="44">
        <v>0</v>
      </c>
      <c r="AP250" s="44">
        <v>0</v>
      </c>
      <c r="AQ250" s="44">
        <v>0</v>
      </c>
      <c r="AR250" s="44">
        <v>0</v>
      </c>
      <c r="AS250" s="44">
        <v>0</v>
      </c>
      <c r="AT250" s="44">
        <v>1358310.9879999999</v>
      </c>
      <c r="AU250" s="44">
        <v>691846.35042182403</v>
      </c>
      <c r="AV250" s="44">
        <v>448485.1287</v>
      </c>
      <c r="AW250" s="44">
        <v>476112.48294660007</v>
      </c>
      <c r="AX250" s="62">
        <v>2498642.4671218237</v>
      </c>
      <c r="AY250" s="62">
        <v>2285171.3584218239</v>
      </c>
      <c r="AZ250" s="62">
        <v>4610</v>
      </c>
      <c r="BA250" s="62">
        <v>1751800</v>
      </c>
      <c r="BB250" s="62">
        <v>0</v>
      </c>
      <c r="BC250" s="62">
        <v>0</v>
      </c>
      <c r="BD250" s="62">
        <v>2498642.4671218237</v>
      </c>
      <c r="BE250" s="44">
        <v>2498642.4671218242</v>
      </c>
      <c r="BF250" s="44">
        <v>0</v>
      </c>
      <c r="BG250" s="62">
        <v>1965271.1087</v>
      </c>
      <c r="BH250" s="62">
        <v>1719763.15</v>
      </c>
      <c r="BI250" s="44">
        <v>2253134.5084218238</v>
      </c>
      <c r="BJ250" s="44">
        <v>5929.3013379521681</v>
      </c>
      <c r="BK250" s="44">
        <v>5654.0537470588251</v>
      </c>
      <c r="BL250" s="45">
        <v>4.8681459923603239E-2</v>
      </c>
      <c r="BM250" s="45">
        <v>0</v>
      </c>
      <c r="BN250" s="44">
        <v>0</v>
      </c>
      <c r="BO250" s="62">
        <v>2498642.4671218237</v>
      </c>
      <c r="BP250" s="62">
        <v>6013.608837952168</v>
      </c>
      <c r="BQ250" s="62" t="s">
        <v>92</v>
      </c>
      <c r="BR250" s="62">
        <v>6575.374913478483</v>
      </c>
      <c r="BS250" s="53">
        <v>7.3081399944386671E-2</v>
      </c>
      <c r="BT250" s="44">
        <v>0</v>
      </c>
      <c r="BU250" s="44">
        <v>2498642.4671218237</v>
      </c>
      <c r="BV250" s="44">
        <v>0</v>
      </c>
      <c r="BW250" s="44">
        <v>2498642.4671218237</v>
      </c>
      <c r="BX250" s="44">
        <v>10493.938700000001</v>
      </c>
      <c r="BY250" s="44">
        <v>2488148.5284218239</v>
      </c>
    </row>
    <row r="251" spans="1:77">
      <c r="A251">
        <v>0</v>
      </c>
      <c r="B251" s="60">
        <v>143088</v>
      </c>
      <c r="C251" s="60">
        <v>3302226</v>
      </c>
      <c r="D251" s="61" t="s">
        <v>958</v>
      </c>
      <c r="E251" s="52">
        <v>327</v>
      </c>
      <c r="F251" s="52">
        <v>327</v>
      </c>
      <c r="G251" s="52">
        <v>0</v>
      </c>
      <c r="H251" s="44">
        <v>1168862.3502</v>
      </c>
      <c r="I251" s="44">
        <v>0</v>
      </c>
      <c r="J251" s="44">
        <v>0</v>
      </c>
      <c r="K251" s="44">
        <v>77200.024299999932</v>
      </c>
      <c r="L251" s="44">
        <v>0</v>
      </c>
      <c r="M251" s="44">
        <v>132483.39019999997</v>
      </c>
      <c r="N251" s="44">
        <v>0</v>
      </c>
      <c r="O251" s="44">
        <v>24997.428800000012</v>
      </c>
      <c r="P251" s="44">
        <v>21450.022500000036</v>
      </c>
      <c r="Q251" s="44">
        <v>6251.8666000000067</v>
      </c>
      <c r="R251" s="44">
        <v>34069.161000000036</v>
      </c>
      <c r="S251" s="44">
        <v>6201.6911999999966</v>
      </c>
      <c r="T251" s="44">
        <v>682.38680000000045</v>
      </c>
      <c r="U251" s="44">
        <v>0</v>
      </c>
      <c r="V251" s="44">
        <v>0</v>
      </c>
      <c r="W251" s="44">
        <v>0</v>
      </c>
      <c r="X251" s="44">
        <v>0</v>
      </c>
      <c r="Y251" s="44">
        <v>0</v>
      </c>
      <c r="Z251" s="44">
        <v>0</v>
      </c>
      <c r="AA251" s="44">
        <v>38008.772377914123</v>
      </c>
      <c r="AB251" s="44">
        <v>0</v>
      </c>
      <c r="AC251" s="44">
        <v>137126.49190348017</v>
      </c>
      <c r="AD251" s="44">
        <v>0</v>
      </c>
      <c r="AE251" s="44">
        <v>425.18287744784021</v>
      </c>
      <c r="AF251" s="44">
        <v>0</v>
      </c>
      <c r="AG251" s="44">
        <v>138243.54</v>
      </c>
      <c r="AH251" s="44">
        <v>0</v>
      </c>
      <c r="AI251" s="44">
        <v>0</v>
      </c>
      <c r="AJ251" s="44">
        <v>0</v>
      </c>
      <c r="AK251" s="44">
        <v>3497.9830000000002</v>
      </c>
      <c r="AL251" s="44">
        <v>0</v>
      </c>
      <c r="AM251" s="44">
        <v>0</v>
      </c>
      <c r="AN251" s="44">
        <v>0</v>
      </c>
      <c r="AO251" s="44">
        <v>0</v>
      </c>
      <c r="AP251" s="44">
        <v>0</v>
      </c>
      <c r="AQ251" s="44">
        <v>0</v>
      </c>
      <c r="AR251" s="44">
        <v>0</v>
      </c>
      <c r="AS251" s="44">
        <v>0</v>
      </c>
      <c r="AT251" s="44">
        <v>1168862.3502</v>
      </c>
      <c r="AU251" s="44">
        <v>478896.4185588421</v>
      </c>
      <c r="AV251" s="44">
        <v>141741.52300000002</v>
      </c>
      <c r="AW251" s="44">
        <v>347237.59511348011</v>
      </c>
      <c r="AX251" s="62">
        <v>1789500.2917588421</v>
      </c>
      <c r="AY251" s="62">
        <v>1786002.3087588421</v>
      </c>
      <c r="AZ251" s="62">
        <v>4610</v>
      </c>
      <c r="BA251" s="62">
        <v>1507470</v>
      </c>
      <c r="BB251" s="62">
        <v>0</v>
      </c>
      <c r="BC251" s="62">
        <v>0</v>
      </c>
      <c r="BD251" s="62">
        <v>1789500.2917588421</v>
      </c>
      <c r="BE251" s="44">
        <v>1789500.2917588423</v>
      </c>
      <c r="BF251" s="44">
        <v>0</v>
      </c>
      <c r="BG251" s="62">
        <v>1510967.983</v>
      </c>
      <c r="BH251" s="62">
        <v>1369226.46</v>
      </c>
      <c r="BI251" s="44">
        <v>1647758.768758842</v>
      </c>
      <c r="BJ251" s="44">
        <v>5039.0176414643483</v>
      </c>
      <c r="BK251" s="44">
        <v>4968.9619731563416</v>
      </c>
      <c r="BL251" s="45">
        <v>1.409865253275556E-2</v>
      </c>
      <c r="BM251" s="45">
        <v>0</v>
      </c>
      <c r="BN251" s="44">
        <v>0</v>
      </c>
      <c r="BO251" s="62">
        <v>1789500.2917588421</v>
      </c>
      <c r="BP251" s="62">
        <v>5461.7807607304039</v>
      </c>
      <c r="BQ251" s="62" t="s">
        <v>92</v>
      </c>
      <c r="BR251" s="62">
        <v>5472.4779564490582</v>
      </c>
      <c r="BS251" s="53">
        <v>1.422317821790231E-2</v>
      </c>
      <c r="BT251" s="44">
        <v>0</v>
      </c>
      <c r="BU251" s="44">
        <v>1789500.2917588421</v>
      </c>
      <c r="BV251" s="44">
        <v>0</v>
      </c>
      <c r="BW251" s="44">
        <v>1789500.2917588421</v>
      </c>
      <c r="BX251" s="44">
        <v>3497.9830000000002</v>
      </c>
      <c r="BY251" s="44">
        <v>1786002.3087588421</v>
      </c>
    </row>
    <row r="252" spans="1:77">
      <c r="A252">
        <v>0</v>
      </c>
      <c r="B252" s="60">
        <v>139860</v>
      </c>
      <c r="C252" s="60">
        <v>3302249</v>
      </c>
      <c r="D252" s="61" t="s">
        <v>959</v>
      </c>
      <c r="E252" s="52">
        <v>196</v>
      </c>
      <c r="F252" s="52">
        <v>196</v>
      </c>
      <c r="G252" s="52">
        <v>0</v>
      </c>
      <c r="H252" s="44">
        <v>700602.50959999999</v>
      </c>
      <c r="I252" s="44">
        <v>0</v>
      </c>
      <c r="J252" s="44">
        <v>0</v>
      </c>
      <c r="K252" s="44">
        <v>49171.989999999991</v>
      </c>
      <c r="L252" s="44">
        <v>0</v>
      </c>
      <c r="M252" s="44">
        <v>85579.33279999996</v>
      </c>
      <c r="N252" s="44">
        <v>0</v>
      </c>
      <c r="O252" s="44">
        <v>237.03415794871805</v>
      </c>
      <c r="P252" s="44">
        <v>287.4669682051283</v>
      </c>
      <c r="Q252" s="44">
        <v>26931.117661538487</v>
      </c>
      <c r="R252" s="44">
        <v>4891.9820923076941</v>
      </c>
      <c r="S252" s="44">
        <v>39478.800049230798</v>
      </c>
      <c r="T252" s="44">
        <v>24006.017682051217</v>
      </c>
      <c r="U252" s="44">
        <v>0</v>
      </c>
      <c r="V252" s="44">
        <v>0</v>
      </c>
      <c r="W252" s="44">
        <v>0</v>
      </c>
      <c r="X252" s="44">
        <v>0</v>
      </c>
      <c r="Y252" s="44">
        <v>0</v>
      </c>
      <c r="Z252" s="44">
        <v>0</v>
      </c>
      <c r="AA252" s="44">
        <v>3296.7584204545446</v>
      </c>
      <c r="AB252" s="44">
        <v>0</v>
      </c>
      <c r="AC252" s="44">
        <v>79809.472473246162</v>
      </c>
      <c r="AD252" s="44">
        <v>0</v>
      </c>
      <c r="AE252" s="44">
        <v>231.20870400000669</v>
      </c>
      <c r="AF252" s="44">
        <v>0</v>
      </c>
      <c r="AG252" s="44">
        <v>138243.54</v>
      </c>
      <c r="AH252" s="44">
        <v>0</v>
      </c>
      <c r="AI252" s="44">
        <v>0</v>
      </c>
      <c r="AJ252" s="44">
        <v>0</v>
      </c>
      <c r="AK252" s="44">
        <v>5008.4677000000001</v>
      </c>
      <c r="AL252" s="44">
        <v>0</v>
      </c>
      <c r="AM252" s="44">
        <v>0</v>
      </c>
      <c r="AN252" s="44">
        <v>0</v>
      </c>
      <c r="AO252" s="44">
        <v>0</v>
      </c>
      <c r="AP252" s="44">
        <v>0</v>
      </c>
      <c r="AQ252" s="44">
        <v>0</v>
      </c>
      <c r="AR252" s="44">
        <v>0</v>
      </c>
      <c r="AS252" s="44">
        <v>0</v>
      </c>
      <c r="AT252" s="44">
        <v>700602.50959999999</v>
      </c>
      <c r="AU252" s="44">
        <v>313921.1810089827</v>
      </c>
      <c r="AV252" s="44">
        <v>143252.00770000002</v>
      </c>
      <c r="AW252" s="44">
        <v>230131.46865888714</v>
      </c>
      <c r="AX252" s="62">
        <v>1157775.6983089827</v>
      </c>
      <c r="AY252" s="62">
        <v>1152767.2306089827</v>
      </c>
      <c r="AZ252" s="62">
        <v>4610</v>
      </c>
      <c r="BA252" s="62">
        <v>903560</v>
      </c>
      <c r="BB252" s="62">
        <v>0</v>
      </c>
      <c r="BC252" s="62">
        <v>0</v>
      </c>
      <c r="BD252" s="62">
        <v>1157775.6983089827</v>
      </c>
      <c r="BE252" s="44">
        <v>1157775.6983089827</v>
      </c>
      <c r="BF252" s="44">
        <v>0</v>
      </c>
      <c r="BG252" s="62">
        <v>908568.46770000004</v>
      </c>
      <c r="BH252" s="62">
        <v>765316.46</v>
      </c>
      <c r="BI252" s="44">
        <v>1014523.6906089826</v>
      </c>
      <c r="BJ252" s="44">
        <v>5176.1412786172577</v>
      </c>
      <c r="BK252" s="44">
        <v>5639.8767438095228</v>
      </c>
      <c r="BL252" s="45">
        <v>-8.222439713798238E-2</v>
      </c>
      <c r="BM252" s="45">
        <v>8.7224397137982385E-2</v>
      </c>
      <c r="BN252" s="44">
        <v>96419.230386617302</v>
      </c>
      <c r="BO252" s="62">
        <v>1254194.9286956</v>
      </c>
      <c r="BP252" s="62">
        <v>6373.4003112020409</v>
      </c>
      <c r="BQ252" s="62" t="s">
        <v>92</v>
      </c>
      <c r="BR252" s="62">
        <v>6398.9537178346936</v>
      </c>
      <c r="BS252" s="53">
        <v>1.3398446631654792E-2</v>
      </c>
      <c r="BT252" s="44">
        <v>0</v>
      </c>
      <c r="BU252" s="44">
        <v>1254194.9286956</v>
      </c>
      <c r="BV252" s="44">
        <v>0</v>
      </c>
      <c r="BW252" s="44">
        <v>1254194.9286956</v>
      </c>
      <c r="BX252" s="44">
        <v>5008.4677000000001</v>
      </c>
      <c r="BY252" s="44">
        <v>1249186.4609956001</v>
      </c>
    </row>
    <row r="253" spans="1:77">
      <c r="A253">
        <v>0</v>
      </c>
      <c r="B253" s="60">
        <v>142203</v>
      </c>
      <c r="C253" s="60">
        <v>3302263</v>
      </c>
      <c r="D253" s="61" t="s">
        <v>960</v>
      </c>
      <c r="E253" s="52">
        <v>388</v>
      </c>
      <c r="F253" s="52">
        <v>388</v>
      </c>
      <c r="G253" s="52">
        <v>0</v>
      </c>
      <c r="H253" s="44">
        <v>1386907.0088</v>
      </c>
      <c r="I253" s="44">
        <v>0</v>
      </c>
      <c r="J253" s="44">
        <v>0</v>
      </c>
      <c r="K253" s="44">
        <v>78183.464100000056</v>
      </c>
      <c r="L253" s="44">
        <v>0</v>
      </c>
      <c r="M253" s="44">
        <v>136597.78120000008</v>
      </c>
      <c r="N253" s="44">
        <v>0</v>
      </c>
      <c r="O253" s="44">
        <v>943.29920000000334</v>
      </c>
      <c r="P253" s="44">
        <v>572.00059999999974</v>
      </c>
      <c r="Q253" s="44">
        <v>42869.942399999971</v>
      </c>
      <c r="R253" s="44">
        <v>7787.2368000000088</v>
      </c>
      <c r="S253" s="44">
        <v>35142.916800000021</v>
      </c>
      <c r="T253" s="44">
        <v>46402.30240000003</v>
      </c>
      <c r="U253" s="44">
        <v>0</v>
      </c>
      <c r="V253" s="44">
        <v>0</v>
      </c>
      <c r="W253" s="44">
        <v>0</v>
      </c>
      <c r="X253" s="44">
        <v>0</v>
      </c>
      <c r="Y253" s="44">
        <v>0</v>
      </c>
      <c r="Z253" s="44">
        <v>0</v>
      </c>
      <c r="AA253" s="44">
        <v>46205.011765439172</v>
      </c>
      <c r="AB253" s="44">
        <v>0</v>
      </c>
      <c r="AC253" s="44">
        <v>167132.16132338857</v>
      </c>
      <c r="AD253" s="44">
        <v>0</v>
      </c>
      <c r="AE253" s="44">
        <v>7437.2133119999826</v>
      </c>
      <c r="AF253" s="44">
        <v>0</v>
      </c>
      <c r="AG253" s="44">
        <v>138243.54</v>
      </c>
      <c r="AH253" s="44">
        <v>0</v>
      </c>
      <c r="AI253" s="44">
        <v>0</v>
      </c>
      <c r="AJ253" s="44">
        <v>0</v>
      </c>
      <c r="AK253" s="44">
        <v>11234.7456</v>
      </c>
      <c r="AL253" s="44">
        <v>0</v>
      </c>
      <c r="AM253" s="44">
        <v>0</v>
      </c>
      <c r="AN253" s="44">
        <v>0</v>
      </c>
      <c r="AO253" s="44">
        <v>0</v>
      </c>
      <c r="AP253" s="44">
        <v>0</v>
      </c>
      <c r="AQ253" s="44">
        <v>0</v>
      </c>
      <c r="AR253" s="44">
        <v>0</v>
      </c>
      <c r="AS253" s="44">
        <v>0</v>
      </c>
      <c r="AT253" s="44">
        <v>1386907.0088</v>
      </c>
      <c r="AU253" s="44">
        <v>569273.32990082796</v>
      </c>
      <c r="AV253" s="44">
        <v>149478.2856</v>
      </c>
      <c r="AW253" s="44">
        <v>410726.98351338867</v>
      </c>
      <c r="AX253" s="62">
        <v>2105658.6243008277</v>
      </c>
      <c r="AY253" s="62">
        <v>2094423.8787008277</v>
      </c>
      <c r="AZ253" s="62">
        <v>4610</v>
      </c>
      <c r="BA253" s="62">
        <v>1788680</v>
      </c>
      <c r="BB253" s="62">
        <v>0</v>
      </c>
      <c r="BC253" s="62">
        <v>0</v>
      </c>
      <c r="BD253" s="62">
        <v>2105658.6243008277</v>
      </c>
      <c r="BE253" s="44">
        <v>2105658.6243008277</v>
      </c>
      <c r="BF253" s="44">
        <v>0</v>
      </c>
      <c r="BG253" s="62">
        <v>1799914.7456</v>
      </c>
      <c r="BH253" s="62">
        <v>1650436.46</v>
      </c>
      <c r="BI253" s="44">
        <v>1956180.3387008277</v>
      </c>
      <c r="BJ253" s="44">
        <v>5041.7019038681128</v>
      </c>
      <c r="BK253" s="44">
        <v>4969.3981707729463</v>
      </c>
      <c r="BL253" s="45">
        <v>1.4549796697800193E-2</v>
      </c>
      <c r="BM253" s="45">
        <v>0</v>
      </c>
      <c r="BN253" s="44">
        <v>0</v>
      </c>
      <c r="BO253" s="62">
        <v>2105658.6243008277</v>
      </c>
      <c r="BP253" s="62">
        <v>5397.9996873732671</v>
      </c>
      <c r="BQ253" s="62" t="s">
        <v>92</v>
      </c>
      <c r="BR253" s="62">
        <v>5426.9552172701742</v>
      </c>
      <c r="BS253" s="53">
        <v>2.1051494691535444E-2</v>
      </c>
      <c r="BT253" s="44">
        <v>0</v>
      </c>
      <c r="BU253" s="44">
        <v>2105658.6243008277</v>
      </c>
      <c r="BV253" s="44">
        <v>0</v>
      </c>
      <c r="BW253" s="44">
        <v>2105658.6243008277</v>
      </c>
      <c r="BX253" s="44">
        <v>11234.7456</v>
      </c>
      <c r="BY253" s="44">
        <v>2094423.8787008277</v>
      </c>
    </row>
    <row r="254" spans="1:77">
      <c r="A254">
        <v>0</v>
      </c>
      <c r="B254" s="60">
        <v>143091</v>
      </c>
      <c r="C254" s="60">
        <v>3302273</v>
      </c>
      <c r="D254" s="61" t="s">
        <v>961</v>
      </c>
      <c r="E254" s="52">
        <v>249</v>
      </c>
      <c r="F254" s="52">
        <v>249</v>
      </c>
      <c r="G254" s="52">
        <v>0</v>
      </c>
      <c r="H254" s="44">
        <v>890051.1473999999</v>
      </c>
      <c r="I254" s="44">
        <v>0</v>
      </c>
      <c r="J254" s="44">
        <v>0</v>
      </c>
      <c r="K254" s="44">
        <v>83100.663100000005</v>
      </c>
      <c r="L254" s="44">
        <v>0</v>
      </c>
      <c r="M254" s="44">
        <v>139889.29399999997</v>
      </c>
      <c r="N254" s="44">
        <v>0</v>
      </c>
      <c r="O254" s="44">
        <v>7103.2711935483949</v>
      </c>
      <c r="P254" s="44">
        <v>1722.921162096776</v>
      </c>
      <c r="Q254" s="44">
        <v>16141.051901612942</v>
      </c>
      <c r="R254" s="44">
        <v>5863.9777112903166</v>
      </c>
      <c r="S254" s="44">
        <v>37360.188116128993</v>
      </c>
      <c r="T254" s="44">
        <v>47959.685177419356</v>
      </c>
      <c r="U254" s="44">
        <v>0</v>
      </c>
      <c r="V254" s="44">
        <v>0</v>
      </c>
      <c r="W254" s="44">
        <v>0</v>
      </c>
      <c r="X254" s="44">
        <v>0</v>
      </c>
      <c r="Y254" s="44">
        <v>0</v>
      </c>
      <c r="Z254" s="44">
        <v>0</v>
      </c>
      <c r="AA254" s="44">
        <v>8751.2945356164382</v>
      </c>
      <c r="AB254" s="44">
        <v>0</v>
      </c>
      <c r="AC254" s="44">
        <v>130969.30647575759</v>
      </c>
      <c r="AD254" s="44">
        <v>0</v>
      </c>
      <c r="AE254" s="44">
        <v>0</v>
      </c>
      <c r="AF254" s="44">
        <v>0</v>
      </c>
      <c r="AG254" s="44">
        <v>138243.54</v>
      </c>
      <c r="AH254" s="44">
        <v>0</v>
      </c>
      <c r="AI254" s="44">
        <v>0</v>
      </c>
      <c r="AJ254" s="44">
        <v>0</v>
      </c>
      <c r="AK254" s="44">
        <v>4239.9744000000001</v>
      </c>
      <c r="AL254" s="44">
        <v>0</v>
      </c>
      <c r="AM254" s="44">
        <v>0</v>
      </c>
      <c r="AN254" s="44">
        <v>0</v>
      </c>
      <c r="AO254" s="44">
        <v>0</v>
      </c>
      <c r="AP254" s="44">
        <v>0</v>
      </c>
      <c r="AQ254" s="44">
        <v>0</v>
      </c>
      <c r="AR254" s="44">
        <v>0</v>
      </c>
      <c r="AS254" s="44">
        <v>0</v>
      </c>
      <c r="AT254" s="44">
        <v>890051.1473999999</v>
      </c>
      <c r="AU254" s="44">
        <v>478861.65337347076</v>
      </c>
      <c r="AV254" s="44">
        <v>142483.51440000001</v>
      </c>
      <c r="AW254" s="44">
        <v>345042.39002680592</v>
      </c>
      <c r="AX254" s="62">
        <v>1511396.3151734706</v>
      </c>
      <c r="AY254" s="62">
        <v>1507156.3407734707</v>
      </c>
      <c r="AZ254" s="62">
        <v>4610</v>
      </c>
      <c r="BA254" s="62">
        <v>1147890</v>
      </c>
      <c r="BB254" s="62">
        <v>0</v>
      </c>
      <c r="BC254" s="62">
        <v>0</v>
      </c>
      <c r="BD254" s="62">
        <v>1511396.3151734706</v>
      </c>
      <c r="BE254" s="44">
        <v>1511396.3151734706</v>
      </c>
      <c r="BF254" s="44">
        <v>0</v>
      </c>
      <c r="BG254" s="62">
        <v>1152129.9743999999</v>
      </c>
      <c r="BH254" s="62">
        <v>1009646.46</v>
      </c>
      <c r="BI254" s="44">
        <v>1368912.8007734707</v>
      </c>
      <c r="BJ254" s="44">
        <v>5497.6417701745813</v>
      </c>
      <c r="BK254" s="44">
        <v>6067.236630078125</v>
      </c>
      <c r="BL254" s="45">
        <v>-9.3880442552676455E-2</v>
      </c>
      <c r="BM254" s="45">
        <v>9.8880442552676459E-2</v>
      </c>
      <c r="BN254" s="44">
        <v>149382.82972042964</v>
      </c>
      <c r="BO254" s="62">
        <v>1660779.1448939003</v>
      </c>
      <c r="BP254" s="62">
        <v>6652.7677529875518</v>
      </c>
      <c r="BQ254" s="62" t="s">
        <v>92</v>
      </c>
      <c r="BR254" s="62">
        <v>6669.7957626261059</v>
      </c>
      <c r="BS254" s="53">
        <v>2.9982301198456796E-3</v>
      </c>
      <c r="BT254" s="44">
        <v>0</v>
      </c>
      <c r="BU254" s="44">
        <v>1660779.1448939003</v>
      </c>
      <c r="BV254" s="44">
        <v>0</v>
      </c>
      <c r="BW254" s="44">
        <v>1660779.1448939003</v>
      </c>
      <c r="BX254" s="44">
        <v>4239.9744000000001</v>
      </c>
      <c r="BY254" s="44">
        <v>1656539.1704939003</v>
      </c>
    </row>
    <row r="255" spans="1:77">
      <c r="A255">
        <v>0</v>
      </c>
      <c r="B255" s="60">
        <v>149607</v>
      </c>
      <c r="C255" s="60">
        <v>3302288</v>
      </c>
      <c r="D255" s="61" t="s">
        <v>962</v>
      </c>
      <c r="E255" s="52">
        <v>421</v>
      </c>
      <c r="F255" s="52">
        <v>421</v>
      </c>
      <c r="G255" s="52">
        <v>0</v>
      </c>
      <c r="H255" s="44">
        <v>1504865.5946</v>
      </c>
      <c r="I255" s="44">
        <v>0</v>
      </c>
      <c r="J255" s="44">
        <v>0</v>
      </c>
      <c r="K255" s="44">
        <v>68349.066100000011</v>
      </c>
      <c r="L255" s="44">
        <v>0</v>
      </c>
      <c r="M255" s="44">
        <v>120140.21719999997</v>
      </c>
      <c r="N255" s="44">
        <v>0</v>
      </c>
      <c r="O255" s="44">
        <v>29478.10000000002</v>
      </c>
      <c r="P255" s="44">
        <v>18018.018900000014</v>
      </c>
      <c r="Q255" s="44">
        <v>25454.028300000038</v>
      </c>
      <c r="R255" s="44">
        <v>12654.259800000007</v>
      </c>
      <c r="S255" s="44">
        <v>11886.574799999995</v>
      </c>
      <c r="T255" s="44">
        <v>17059.670000000013</v>
      </c>
      <c r="U255" s="44">
        <v>0</v>
      </c>
      <c r="V255" s="44">
        <v>0</v>
      </c>
      <c r="W255" s="44">
        <v>0</v>
      </c>
      <c r="X255" s="44">
        <v>0</v>
      </c>
      <c r="Y255" s="44">
        <v>0</v>
      </c>
      <c r="Z255" s="44">
        <v>0</v>
      </c>
      <c r="AA255" s="44">
        <v>8308.7282966666589</v>
      </c>
      <c r="AB255" s="44">
        <v>0</v>
      </c>
      <c r="AC255" s="44">
        <v>147962.64562127113</v>
      </c>
      <c r="AD255" s="44">
        <v>0</v>
      </c>
      <c r="AE255" s="44">
        <v>2639.6327040000006</v>
      </c>
      <c r="AF255" s="44">
        <v>0</v>
      </c>
      <c r="AG255" s="44">
        <v>138243.54</v>
      </c>
      <c r="AH255" s="44">
        <v>0</v>
      </c>
      <c r="AI255" s="44">
        <v>0</v>
      </c>
      <c r="AJ255" s="44">
        <v>0</v>
      </c>
      <c r="AK255" s="44">
        <v>47699.712</v>
      </c>
      <c r="AL255" s="44">
        <v>0</v>
      </c>
      <c r="AM255" s="44">
        <v>0</v>
      </c>
      <c r="AN255" s="44">
        <v>0</v>
      </c>
      <c r="AO255" s="44">
        <v>0</v>
      </c>
      <c r="AP255" s="44">
        <v>0</v>
      </c>
      <c r="AQ255" s="44">
        <v>0</v>
      </c>
      <c r="AR255" s="44">
        <v>0</v>
      </c>
      <c r="AS255" s="44">
        <v>0</v>
      </c>
      <c r="AT255" s="44">
        <v>1504865.5946</v>
      </c>
      <c r="AU255" s="44">
        <v>461950.94172193785</v>
      </c>
      <c r="AV255" s="44">
        <v>185943.25200000001</v>
      </c>
      <c r="AW255" s="44">
        <v>374725.89290127123</v>
      </c>
      <c r="AX255" s="62">
        <v>2152759.7883219379</v>
      </c>
      <c r="AY255" s="62">
        <v>2105060.0763219381</v>
      </c>
      <c r="AZ255" s="62">
        <v>4610</v>
      </c>
      <c r="BA255" s="62">
        <v>1940810</v>
      </c>
      <c r="BB255" s="62">
        <v>0</v>
      </c>
      <c r="BC255" s="62">
        <v>0</v>
      </c>
      <c r="BD255" s="62">
        <v>2152759.7883219379</v>
      </c>
      <c r="BE255" s="44">
        <v>2152759.7883219379</v>
      </c>
      <c r="BF255" s="44">
        <v>0</v>
      </c>
      <c r="BG255" s="62">
        <v>1988509.7120000001</v>
      </c>
      <c r="BH255" s="62">
        <v>1802566.46</v>
      </c>
      <c r="BI255" s="44">
        <v>1966816.5363219378</v>
      </c>
      <c r="BJ255" s="44">
        <v>4671.7732454202796</v>
      </c>
      <c r="BK255" s="44">
        <v>4531.4732743142149</v>
      </c>
      <c r="BL255" s="45">
        <v>3.0961226650354123E-2</v>
      </c>
      <c r="BM255" s="45">
        <v>0</v>
      </c>
      <c r="BN255" s="44">
        <v>0</v>
      </c>
      <c r="BO255" s="62">
        <v>2152759.7883219379</v>
      </c>
      <c r="BP255" s="62">
        <v>5000.1426991019907</v>
      </c>
      <c r="BQ255" s="62" t="s">
        <v>92</v>
      </c>
      <c r="BR255" s="62">
        <v>5113.4436777243181</v>
      </c>
      <c r="BS255" s="53">
        <v>2.4387674583954633E-2</v>
      </c>
      <c r="BT255" s="44">
        <v>0</v>
      </c>
      <c r="BU255" s="44">
        <v>2152759.7883219379</v>
      </c>
      <c r="BV255" s="44">
        <v>0</v>
      </c>
      <c r="BW255" s="44">
        <v>2152759.7883219379</v>
      </c>
      <c r="BX255" s="44">
        <v>47699.712</v>
      </c>
      <c r="BY255" s="44">
        <v>2105060.0763219381</v>
      </c>
    </row>
    <row r="256" spans="1:77">
      <c r="A256">
        <v>0</v>
      </c>
      <c r="B256" s="60">
        <v>139465</v>
      </c>
      <c r="C256" s="60">
        <v>3302295</v>
      </c>
      <c r="D256" s="61" t="s">
        <v>963</v>
      </c>
      <c r="E256" s="52">
        <v>210</v>
      </c>
      <c r="F256" s="52">
        <v>210</v>
      </c>
      <c r="G256" s="52">
        <v>0</v>
      </c>
      <c r="H256" s="44">
        <v>750645.54599999997</v>
      </c>
      <c r="I256" s="44">
        <v>0</v>
      </c>
      <c r="J256" s="44">
        <v>0</v>
      </c>
      <c r="K256" s="44">
        <v>35895.552700000044</v>
      </c>
      <c r="L256" s="44">
        <v>0</v>
      </c>
      <c r="M256" s="44">
        <v>60070.108600000072</v>
      </c>
      <c r="N256" s="44">
        <v>0</v>
      </c>
      <c r="O256" s="44">
        <v>7310.56880000002</v>
      </c>
      <c r="P256" s="44">
        <v>8866.0093000000234</v>
      </c>
      <c r="Q256" s="44">
        <v>2232.8094999999989</v>
      </c>
      <c r="R256" s="44">
        <v>6813.8322000000026</v>
      </c>
      <c r="S256" s="44">
        <v>22222.726800000026</v>
      </c>
      <c r="T256" s="44">
        <v>7506.2548000000033</v>
      </c>
      <c r="U256" s="44">
        <v>0</v>
      </c>
      <c r="V256" s="44">
        <v>0</v>
      </c>
      <c r="W256" s="44">
        <v>0</v>
      </c>
      <c r="X256" s="44">
        <v>0</v>
      </c>
      <c r="Y256" s="44">
        <v>0</v>
      </c>
      <c r="Z256" s="44">
        <v>0</v>
      </c>
      <c r="AA256" s="44">
        <v>34730.415921787659</v>
      </c>
      <c r="AB256" s="44">
        <v>0</v>
      </c>
      <c r="AC256" s="44">
        <v>75359.07400965516</v>
      </c>
      <c r="AD256" s="44">
        <v>0</v>
      </c>
      <c r="AE256" s="44">
        <v>0</v>
      </c>
      <c r="AF256" s="44">
        <v>0</v>
      </c>
      <c r="AG256" s="44">
        <v>138243.54</v>
      </c>
      <c r="AH256" s="44">
        <v>0</v>
      </c>
      <c r="AI256" s="44">
        <v>0</v>
      </c>
      <c r="AJ256" s="44">
        <v>0</v>
      </c>
      <c r="AK256" s="44">
        <v>5564.9664000000002</v>
      </c>
      <c r="AL256" s="44">
        <v>0</v>
      </c>
      <c r="AM256" s="44">
        <v>0</v>
      </c>
      <c r="AN256" s="44">
        <v>0</v>
      </c>
      <c r="AO256" s="44">
        <v>0</v>
      </c>
      <c r="AP256" s="44">
        <v>0</v>
      </c>
      <c r="AQ256" s="44">
        <v>0</v>
      </c>
      <c r="AR256" s="44">
        <v>0</v>
      </c>
      <c r="AS256" s="44">
        <v>0</v>
      </c>
      <c r="AT256" s="44">
        <v>750645.54599999997</v>
      </c>
      <c r="AU256" s="44">
        <v>261007.35263144301</v>
      </c>
      <c r="AV256" s="44">
        <v>143808.50640000001</v>
      </c>
      <c r="AW256" s="44">
        <v>188350.28265965526</v>
      </c>
      <c r="AX256" s="62">
        <v>1155461.4050314431</v>
      </c>
      <c r="AY256" s="62">
        <v>1149896.4386314431</v>
      </c>
      <c r="AZ256" s="62">
        <v>4610</v>
      </c>
      <c r="BA256" s="62">
        <v>968100</v>
      </c>
      <c r="BB256" s="62">
        <v>0</v>
      </c>
      <c r="BC256" s="62">
        <v>0</v>
      </c>
      <c r="BD256" s="62">
        <v>1155461.4050314431</v>
      </c>
      <c r="BE256" s="44">
        <v>1155461.4050314429</v>
      </c>
      <c r="BF256" s="44">
        <v>0</v>
      </c>
      <c r="BG256" s="62">
        <v>973664.96640000003</v>
      </c>
      <c r="BH256" s="62">
        <v>829856.46</v>
      </c>
      <c r="BI256" s="44">
        <v>1011652.898631443</v>
      </c>
      <c r="BJ256" s="44">
        <v>4817.3947553878243</v>
      </c>
      <c r="BK256" s="44">
        <v>4687.1893615384606</v>
      </c>
      <c r="BL256" s="45">
        <v>2.7778991588815766E-2</v>
      </c>
      <c r="BM256" s="45">
        <v>0</v>
      </c>
      <c r="BN256" s="44">
        <v>0</v>
      </c>
      <c r="BO256" s="62">
        <v>1155461.4050314431</v>
      </c>
      <c r="BP256" s="62">
        <v>5475.6973268163956</v>
      </c>
      <c r="BQ256" s="62" t="s">
        <v>92</v>
      </c>
      <c r="BR256" s="62">
        <v>5502.197166816396</v>
      </c>
      <c r="BS256" s="53">
        <v>2.4310136175963448E-2</v>
      </c>
      <c r="BT256" s="44">
        <v>0</v>
      </c>
      <c r="BU256" s="44">
        <v>1155461.4050314431</v>
      </c>
      <c r="BV256" s="44">
        <v>0</v>
      </c>
      <c r="BW256" s="44">
        <v>1155461.4050314431</v>
      </c>
      <c r="BX256" s="44">
        <v>5564.9664000000002</v>
      </c>
      <c r="BY256" s="44">
        <v>1149896.4386314431</v>
      </c>
    </row>
    <row r="257" spans="1:77">
      <c r="A257">
        <v>0</v>
      </c>
      <c r="B257" s="60">
        <v>140706</v>
      </c>
      <c r="C257" s="60">
        <v>3302299</v>
      </c>
      <c r="D257" s="61" t="s">
        <v>964</v>
      </c>
      <c r="E257" s="52">
        <v>250</v>
      </c>
      <c r="F257" s="52">
        <v>250</v>
      </c>
      <c r="G257" s="52">
        <v>0</v>
      </c>
      <c r="H257" s="44">
        <v>893625.64999999991</v>
      </c>
      <c r="I257" s="44">
        <v>0</v>
      </c>
      <c r="J257" s="44">
        <v>0</v>
      </c>
      <c r="K257" s="44">
        <v>38680.552478448262</v>
      </c>
      <c r="L257" s="44">
        <v>0</v>
      </c>
      <c r="M257" s="44">
        <v>65617.44267241373</v>
      </c>
      <c r="N257" s="44">
        <v>0</v>
      </c>
      <c r="O257" s="44">
        <v>24649.790517241374</v>
      </c>
      <c r="P257" s="44">
        <v>16025.878879310363</v>
      </c>
      <c r="Q257" s="44">
        <v>1443.6268318965492</v>
      </c>
      <c r="R257" s="44">
        <v>23076.4021551724</v>
      </c>
      <c r="S257" s="44">
        <v>3898.333189655179</v>
      </c>
      <c r="T257" s="44">
        <v>2205.991810344824</v>
      </c>
      <c r="U257" s="44">
        <v>0</v>
      </c>
      <c r="V257" s="44">
        <v>0</v>
      </c>
      <c r="W257" s="44">
        <v>0</v>
      </c>
      <c r="X257" s="44">
        <v>0</v>
      </c>
      <c r="Y257" s="44">
        <v>0</v>
      </c>
      <c r="Z257" s="44">
        <v>0</v>
      </c>
      <c r="AA257" s="44">
        <v>59604.453020134199</v>
      </c>
      <c r="AB257" s="44">
        <v>0</v>
      </c>
      <c r="AC257" s="44">
        <v>114031.94568345322</v>
      </c>
      <c r="AD257" s="44">
        <v>0</v>
      </c>
      <c r="AE257" s="44">
        <v>0</v>
      </c>
      <c r="AF257" s="44">
        <v>0</v>
      </c>
      <c r="AG257" s="44">
        <v>138243.54</v>
      </c>
      <c r="AH257" s="44">
        <v>0</v>
      </c>
      <c r="AI257" s="44">
        <v>0</v>
      </c>
      <c r="AJ257" s="44">
        <v>0</v>
      </c>
      <c r="AK257" s="44">
        <v>6253.9642999999996</v>
      </c>
      <c r="AL257" s="44">
        <v>0</v>
      </c>
      <c r="AM257" s="44">
        <v>0</v>
      </c>
      <c r="AN257" s="44">
        <v>0</v>
      </c>
      <c r="AO257" s="44">
        <v>0</v>
      </c>
      <c r="AP257" s="44">
        <v>0</v>
      </c>
      <c r="AQ257" s="44">
        <v>0</v>
      </c>
      <c r="AR257" s="44">
        <v>0</v>
      </c>
      <c r="AS257" s="44">
        <v>0</v>
      </c>
      <c r="AT257" s="44">
        <v>893625.64999999991</v>
      </c>
      <c r="AU257" s="44">
        <v>349234.41723807011</v>
      </c>
      <c r="AV257" s="44">
        <v>144497.5043</v>
      </c>
      <c r="AW257" s="44">
        <v>246512.23745069455</v>
      </c>
      <c r="AX257" s="62">
        <v>1387357.57153807</v>
      </c>
      <c r="AY257" s="62">
        <v>1381103.6072380699</v>
      </c>
      <c r="AZ257" s="62">
        <v>4610</v>
      </c>
      <c r="BA257" s="62">
        <v>1152500</v>
      </c>
      <c r="BB257" s="62">
        <v>0</v>
      </c>
      <c r="BC257" s="62">
        <v>0</v>
      </c>
      <c r="BD257" s="62">
        <v>1387357.57153807</v>
      </c>
      <c r="BE257" s="44">
        <v>1387357.57153807</v>
      </c>
      <c r="BF257" s="44">
        <v>0</v>
      </c>
      <c r="BG257" s="62">
        <v>1158753.9643000001</v>
      </c>
      <c r="BH257" s="62">
        <v>1014256.4600000001</v>
      </c>
      <c r="BI257" s="44">
        <v>1242860.0672380698</v>
      </c>
      <c r="BJ257" s="44">
        <v>4971.4402689522794</v>
      </c>
      <c r="BK257" s="44">
        <v>4899.528151327434</v>
      </c>
      <c r="BL257" s="45">
        <v>1.4677355737891256E-2</v>
      </c>
      <c r="BM257" s="45">
        <v>0</v>
      </c>
      <c r="BN257" s="44">
        <v>0</v>
      </c>
      <c r="BO257" s="62">
        <v>1387357.57153807</v>
      </c>
      <c r="BP257" s="62">
        <v>5524.4144289522792</v>
      </c>
      <c r="BQ257" s="62" t="s">
        <v>92</v>
      </c>
      <c r="BR257" s="62">
        <v>5549.4302861522801</v>
      </c>
      <c r="BS257" s="53">
        <v>2.5832278390987007E-3</v>
      </c>
      <c r="BT257" s="44">
        <v>0</v>
      </c>
      <c r="BU257" s="44">
        <v>1387357.57153807</v>
      </c>
      <c r="BV257" s="44">
        <v>0</v>
      </c>
      <c r="BW257" s="44">
        <v>1387357.57153807</v>
      </c>
      <c r="BX257" s="44">
        <v>6253.9642999999996</v>
      </c>
      <c r="BY257" s="44">
        <v>1381103.6072380699</v>
      </c>
    </row>
    <row r="258" spans="1:77">
      <c r="A258">
        <v>0</v>
      </c>
      <c r="B258" s="60">
        <v>142231</v>
      </c>
      <c r="C258" s="60">
        <v>3302309</v>
      </c>
      <c r="D258" s="61" t="s">
        <v>965</v>
      </c>
      <c r="E258" s="52">
        <v>439</v>
      </c>
      <c r="F258" s="52">
        <v>439</v>
      </c>
      <c r="G258" s="52">
        <v>0</v>
      </c>
      <c r="H258" s="44">
        <v>1569206.6413999998</v>
      </c>
      <c r="I258" s="44">
        <v>0</v>
      </c>
      <c r="J258" s="44">
        <v>0</v>
      </c>
      <c r="K258" s="44">
        <v>83100.663100000049</v>
      </c>
      <c r="L258" s="44">
        <v>0</v>
      </c>
      <c r="M258" s="44">
        <v>139889.29400000002</v>
      </c>
      <c r="N258" s="44">
        <v>0</v>
      </c>
      <c r="O258" s="44">
        <v>3553.5613455377561</v>
      </c>
      <c r="P258" s="44">
        <v>4884.256839588099</v>
      </c>
      <c r="Q258" s="44">
        <v>72225.511510526325</v>
      </c>
      <c r="R258" s="44">
        <v>65516.589244393523</v>
      </c>
      <c r="S258" s="44">
        <v>52955.630921739197</v>
      </c>
      <c r="T258" s="44">
        <v>2742.0394068649871</v>
      </c>
      <c r="U258" s="44">
        <v>0</v>
      </c>
      <c r="V258" s="44">
        <v>0</v>
      </c>
      <c r="W258" s="44">
        <v>0</v>
      </c>
      <c r="X258" s="44">
        <v>0</v>
      </c>
      <c r="Y258" s="44">
        <v>0</v>
      </c>
      <c r="Z258" s="44">
        <v>0</v>
      </c>
      <c r="AA258" s="44">
        <v>89814.985636649144</v>
      </c>
      <c r="AB258" s="44">
        <v>0</v>
      </c>
      <c r="AC258" s="44">
        <v>200409.88939692656</v>
      </c>
      <c r="AD258" s="44">
        <v>0</v>
      </c>
      <c r="AE258" s="44">
        <v>695.209733260294</v>
      </c>
      <c r="AF258" s="44">
        <v>0</v>
      </c>
      <c r="AG258" s="44">
        <v>138243.54</v>
      </c>
      <c r="AH258" s="44">
        <v>0</v>
      </c>
      <c r="AI258" s="44">
        <v>0</v>
      </c>
      <c r="AJ258" s="44">
        <v>0</v>
      </c>
      <c r="AK258" s="44">
        <v>2696.2928000000002</v>
      </c>
      <c r="AL258" s="44">
        <v>0</v>
      </c>
      <c r="AM258" s="44">
        <v>0</v>
      </c>
      <c r="AN258" s="44">
        <v>0</v>
      </c>
      <c r="AO258" s="44">
        <v>0</v>
      </c>
      <c r="AP258" s="44">
        <v>0</v>
      </c>
      <c r="AQ258" s="44">
        <v>0</v>
      </c>
      <c r="AR258" s="44">
        <v>0</v>
      </c>
      <c r="AS258" s="44">
        <v>0</v>
      </c>
      <c r="AT258" s="44">
        <v>1569206.6413999998</v>
      </c>
      <c r="AU258" s="44">
        <v>715787.63113548595</v>
      </c>
      <c r="AV258" s="44">
        <v>140939.8328</v>
      </c>
      <c r="AW258" s="44">
        <v>491303.99465125153</v>
      </c>
      <c r="AX258" s="62">
        <v>2425934.1053354857</v>
      </c>
      <c r="AY258" s="62">
        <v>2423237.8125354857</v>
      </c>
      <c r="AZ258" s="62">
        <v>4610</v>
      </c>
      <c r="BA258" s="62">
        <v>2023790</v>
      </c>
      <c r="BB258" s="62">
        <v>0</v>
      </c>
      <c r="BC258" s="62">
        <v>0</v>
      </c>
      <c r="BD258" s="62">
        <v>2425934.1053354857</v>
      </c>
      <c r="BE258" s="44">
        <v>2425934.1053354857</v>
      </c>
      <c r="BF258" s="44">
        <v>0</v>
      </c>
      <c r="BG258" s="62">
        <v>2026486.2927999999</v>
      </c>
      <c r="BH258" s="62">
        <v>1885546.46</v>
      </c>
      <c r="BI258" s="44">
        <v>2284994.2725354857</v>
      </c>
      <c r="BJ258" s="44">
        <v>5204.9983429054346</v>
      </c>
      <c r="BK258" s="44">
        <v>5139.286980637813</v>
      </c>
      <c r="BL258" s="45">
        <v>1.2786085407409263E-2</v>
      </c>
      <c r="BM258" s="45">
        <v>0</v>
      </c>
      <c r="BN258" s="44">
        <v>0</v>
      </c>
      <c r="BO258" s="62">
        <v>2425934.1053354857</v>
      </c>
      <c r="BP258" s="62">
        <v>5519.9039009919952</v>
      </c>
      <c r="BQ258" s="62" t="s">
        <v>92</v>
      </c>
      <c r="BR258" s="62">
        <v>5526.0457980307192</v>
      </c>
      <c r="BS258" s="53">
        <v>1.0611193714394007E-2</v>
      </c>
      <c r="BT258" s="44">
        <v>0</v>
      </c>
      <c r="BU258" s="44">
        <v>2425934.1053354857</v>
      </c>
      <c r="BV258" s="44">
        <v>0</v>
      </c>
      <c r="BW258" s="44">
        <v>2425934.1053354857</v>
      </c>
      <c r="BX258" s="44">
        <v>2696.2928000000002</v>
      </c>
      <c r="BY258" s="44">
        <v>2423237.8125354857</v>
      </c>
    </row>
    <row r="259" spans="1:77">
      <c r="A259">
        <v>0</v>
      </c>
      <c r="B259" s="60">
        <v>139484</v>
      </c>
      <c r="C259" s="60">
        <v>3302310</v>
      </c>
      <c r="D259" s="61" t="s">
        <v>966</v>
      </c>
      <c r="E259" s="52">
        <v>205</v>
      </c>
      <c r="F259" s="52">
        <v>205</v>
      </c>
      <c r="G259" s="52">
        <v>0</v>
      </c>
      <c r="H259" s="44">
        <v>732773.03299999994</v>
      </c>
      <c r="I259" s="44">
        <v>0</v>
      </c>
      <c r="J259" s="44">
        <v>0</v>
      </c>
      <c r="K259" s="44">
        <v>43763.071100000045</v>
      </c>
      <c r="L259" s="44">
        <v>0</v>
      </c>
      <c r="M259" s="44">
        <v>75704.794399999984</v>
      </c>
      <c r="N259" s="44">
        <v>0</v>
      </c>
      <c r="O259" s="44">
        <v>0</v>
      </c>
      <c r="P259" s="44">
        <v>18018.018900000014</v>
      </c>
      <c r="Q259" s="44">
        <v>12503.733200000041</v>
      </c>
      <c r="R259" s="44">
        <v>1946.8091999999976</v>
      </c>
      <c r="S259" s="44">
        <v>25323.572399999954</v>
      </c>
      <c r="T259" s="44">
        <v>8188.6416000000045</v>
      </c>
      <c r="U259" s="44">
        <v>0</v>
      </c>
      <c r="V259" s="44">
        <v>0</v>
      </c>
      <c r="W259" s="44">
        <v>0</v>
      </c>
      <c r="X259" s="44">
        <v>0</v>
      </c>
      <c r="Y259" s="44">
        <v>0</v>
      </c>
      <c r="Z259" s="44">
        <v>0</v>
      </c>
      <c r="AA259" s="44">
        <v>4882.8835718390856</v>
      </c>
      <c r="AB259" s="44">
        <v>0</v>
      </c>
      <c r="AC259" s="44">
        <v>65822.055101056365</v>
      </c>
      <c r="AD259" s="44">
        <v>0</v>
      </c>
      <c r="AE259" s="44">
        <v>3716.3287377339934</v>
      </c>
      <c r="AF259" s="44">
        <v>0</v>
      </c>
      <c r="AG259" s="44">
        <v>138243.54</v>
      </c>
      <c r="AH259" s="44">
        <v>0</v>
      </c>
      <c r="AI259" s="44">
        <v>0</v>
      </c>
      <c r="AJ259" s="44">
        <v>0</v>
      </c>
      <c r="AK259" s="44">
        <v>33647.143900000003</v>
      </c>
      <c r="AL259" s="44">
        <v>0</v>
      </c>
      <c r="AM259" s="44">
        <v>0</v>
      </c>
      <c r="AN259" s="44">
        <v>0</v>
      </c>
      <c r="AO259" s="44">
        <v>0</v>
      </c>
      <c r="AP259" s="44">
        <v>0</v>
      </c>
      <c r="AQ259" s="44">
        <v>0</v>
      </c>
      <c r="AR259" s="44">
        <v>0</v>
      </c>
      <c r="AS259" s="44">
        <v>0</v>
      </c>
      <c r="AT259" s="44">
        <v>732773.03299999994</v>
      </c>
      <c r="AU259" s="44">
        <v>259869.90821062948</v>
      </c>
      <c r="AV259" s="44">
        <v>171890.6839</v>
      </c>
      <c r="AW259" s="44">
        <v>195185.02715105639</v>
      </c>
      <c r="AX259" s="62">
        <v>1164533.6251106295</v>
      </c>
      <c r="AY259" s="62">
        <v>1130886.4812106295</v>
      </c>
      <c r="AZ259" s="62">
        <v>4610</v>
      </c>
      <c r="BA259" s="62">
        <v>945050</v>
      </c>
      <c r="BB259" s="62">
        <v>0</v>
      </c>
      <c r="BC259" s="62">
        <v>0</v>
      </c>
      <c r="BD259" s="62">
        <v>1164533.6251106295</v>
      </c>
      <c r="BE259" s="44">
        <v>1164533.6251106295</v>
      </c>
      <c r="BF259" s="44">
        <v>0</v>
      </c>
      <c r="BG259" s="62">
        <v>978697.14390000002</v>
      </c>
      <c r="BH259" s="62">
        <v>806806.46</v>
      </c>
      <c r="BI259" s="44">
        <v>992642.94121062942</v>
      </c>
      <c r="BJ259" s="44">
        <v>4842.1606888323386</v>
      </c>
      <c r="BK259" s="44">
        <v>4888.0069521052628</v>
      </c>
      <c r="BL259" s="45">
        <v>-9.3793367567078217E-3</v>
      </c>
      <c r="BM259" s="45">
        <v>1.4379336756707821E-2</v>
      </c>
      <c r="BN259" s="44">
        <v>14408.691096857368</v>
      </c>
      <c r="BO259" s="62">
        <v>1178942.3162074869</v>
      </c>
      <c r="BP259" s="62">
        <v>5586.8057185731068</v>
      </c>
      <c r="BQ259" s="62" t="s">
        <v>92</v>
      </c>
      <c r="BR259" s="62">
        <v>5750.9381278413994</v>
      </c>
      <c r="BS259" s="53">
        <v>2.1593117669051365E-2</v>
      </c>
      <c r="BT259" s="44">
        <v>0</v>
      </c>
      <c r="BU259" s="44">
        <v>1178942.3162074869</v>
      </c>
      <c r="BV259" s="44">
        <v>0</v>
      </c>
      <c r="BW259" s="44">
        <v>1178942.3162074869</v>
      </c>
      <c r="BX259" s="44">
        <v>33647.143900000003</v>
      </c>
      <c r="BY259" s="44">
        <v>1145295.1723074869</v>
      </c>
    </row>
    <row r="260" spans="1:77">
      <c r="A260">
        <v>0</v>
      </c>
      <c r="B260" s="60">
        <v>149366</v>
      </c>
      <c r="C260" s="60">
        <v>3302313</v>
      </c>
      <c r="D260" s="61" t="s">
        <v>967</v>
      </c>
      <c r="E260" s="52">
        <v>334</v>
      </c>
      <c r="F260" s="52">
        <v>334</v>
      </c>
      <c r="G260" s="52">
        <v>0</v>
      </c>
      <c r="H260" s="44">
        <v>1193883.8684</v>
      </c>
      <c r="I260" s="44">
        <v>0</v>
      </c>
      <c r="J260" s="44">
        <v>0</v>
      </c>
      <c r="K260" s="44">
        <v>72282.825300000011</v>
      </c>
      <c r="L260" s="44">
        <v>0</v>
      </c>
      <c r="M260" s="44">
        <v>125077.48639999988</v>
      </c>
      <c r="N260" s="44">
        <v>0</v>
      </c>
      <c r="O260" s="44">
        <v>1886.5983999999976</v>
      </c>
      <c r="P260" s="44">
        <v>19162.020100000038</v>
      </c>
      <c r="Q260" s="44">
        <v>18309.037899999988</v>
      </c>
      <c r="R260" s="44">
        <v>25795.221900000011</v>
      </c>
      <c r="S260" s="44">
        <v>66151.372800000041</v>
      </c>
      <c r="T260" s="44">
        <v>13647.736000000003</v>
      </c>
      <c r="U260" s="44">
        <v>0</v>
      </c>
      <c r="V260" s="44">
        <v>0</v>
      </c>
      <c r="W260" s="44">
        <v>0</v>
      </c>
      <c r="X260" s="44">
        <v>0</v>
      </c>
      <c r="Y260" s="44">
        <v>0</v>
      </c>
      <c r="Z260" s="44">
        <v>0</v>
      </c>
      <c r="AA260" s="44">
        <v>104612.66379863487</v>
      </c>
      <c r="AB260" s="44">
        <v>0</v>
      </c>
      <c r="AC260" s="44">
        <v>196813.59167060003</v>
      </c>
      <c r="AD260" s="44">
        <v>0</v>
      </c>
      <c r="AE260" s="44">
        <v>20192.226815999977</v>
      </c>
      <c r="AF260" s="44">
        <v>0</v>
      </c>
      <c r="AG260" s="44">
        <v>138243.54</v>
      </c>
      <c r="AH260" s="44">
        <v>0</v>
      </c>
      <c r="AI260" s="44">
        <v>0</v>
      </c>
      <c r="AJ260" s="44">
        <v>0</v>
      </c>
      <c r="AK260" s="44">
        <v>3842.4767999999999</v>
      </c>
      <c r="AL260" s="44">
        <v>0</v>
      </c>
      <c r="AM260" s="44">
        <v>0</v>
      </c>
      <c r="AN260" s="44">
        <v>0</v>
      </c>
      <c r="AO260" s="44">
        <v>0</v>
      </c>
      <c r="AP260" s="44">
        <v>0</v>
      </c>
      <c r="AQ260" s="44">
        <v>0</v>
      </c>
      <c r="AR260" s="44">
        <v>0</v>
      </c>
      <c r="AS260" s="44">
        <v>0</v>
      </c>
      <c r="AT260" s="44">
        <v>1193883.8684</v>
      </c>
      <c r="AU260" s="44">
        <v>663930.78108523472</v>
      </c>
      <c r="AV260" s="44">
        <v>142086.01680000001</v>
      </c>
      <c r="AW260" s="44">
        <v>427663.93449060002</v>
      </c>
      <c r="AX260" s="62">
        <v>1999900.6662852347</v>
      </c>
      <c r="AY260" s="62">
        <v>1996058.1894852347</v>
      </c>
      <c r="AZ260" s="62">
        <v>4610</v>
      </c>
      <c r="BA260" s="62">
        <v>1539740</v>
      </c>
      <c r="BB260" s="62">
        <v>0</v>
      </c>
      <c r="BC260" s="62">
        <v>0</v>
      </c>
      <c r="BD260" s="62">
        <v>1999900.6662852347</v>
      </c>
      <c r="BE260" s="44">
        <v>1999900.6662852347</v>
      </c>
      <c r="BF260" s="44">
        <v>0</v>
      </c>
      <c r="BG260" s="62">
        <v>1543582.4768000001</v>
      </c>
      <c r="BH260" s="62">
        <v>1401496.46</v>
      </c>
      <c r="BI260" s="44">
        <v>1857814.6494852346</v>
      </c>
      <c r="BJ260" s="44">
        <v>5562.3193098360316</v>
      </c>
      <c r="BK260" s="44">
        <v>5484.790524615385</v>
      </c>
      <c r="BL260" s="45">
        <v>1.4135231760028464E-2</v>
      </c>
      <c r="BM260" s="45">
        <v>0</v>
      </c>
      <c r="BN260" s="44">
        <v>0</v>
      </c>
      <c r="BO260" s="62">
        <v>1999900.6662852347</v>
      </c>
      <c r="BP260" s="62">
        <v>5976.2221242072892</v>
      </c>
      <c r="BQ260" s="62" t="s">
        <v>92</v>
      </c>
      <c r="BR260" s="62">
        <v>5987.7265457641761</v>
      </c>
      <c r="BS260" s="53">
        <v>-3.8170395879127961E-3</v>
      </c>
      <c r="BT260" s="44">
        <v>0</v>
      </c>
      <c r="BU260" s="44">
        <v>1999900.6662852347</v>
      </c>
      <c r="BV260" s="44">
        <v>0</v>
      </c>
      <c r="BW260" s="44">
        <v>1999900.6662852347</v>
      </c>
      <c r="BX260" s="44">
        <v>3842.4767999999999</v>
      </c>
      <c r="BY260" s="44">
        <v>1996058.1894852347</v>
      </c>
    </row>
    <row r="261" spans="1:77">
      <c r="A261">
        <v>0</v>
      </c>
      <c r="B261" s="60">
        <v>142358</v>
      </c>
      <c r="C261" s="60">
        <v>3302315</v>
      </c>
      <c r="D261" s="61" t="s">
        <v>968</v>
      </c>
      <c r="E261" s="52">
        <v>204</v>
      </c>
      <c r="F261" s="52">
        <v>204</v>
      </c>
      <c r="G261" s="52">
        <v>0</v>
      </c>
      <c r="H261" s="44">
        <v>729198.53039999993</v>
      </c>
      <c r="I261" s="44">
        <v>0</v>
      </c>
      <c r="J261" s="44">
        <v>0</v>
      </c>
      <c r="K261" s="44">
        <v>64415.306899999996</v>
      </c>
      <c r="L261" s="44">
        <v>0</v>
      </c>
      <c r="M261" s="44">
        <v>107797.0442</v>
      </c>
      <c r="N261" s="44">
        <v>0</v>
      </c>
      <c r="O261" s="44">
        <v>1886.5984000000001</v>
      </c>
      <c r="P261" s="44">
        <v>572.00059999999996</v>
      </c>
      <c r="Q261" s="44">
        <v>893.12379999999996</v>
      </c>
      <c r="R261" s="44">
        <v>35042.565599999973</v>
      </c>
      <c r="S261" s="44">
        <v>56848.836000000018</v>
      </c>
      <c r="T261" s="44">
        <v>2729.5472</v>
      </c>
      <c r="U261" s="44">
        <v>0</v>
      </c>
      <c r="V261" s="44">
        <v>0</v>
      </c>
      <c r="W261" s="44">
        <v>0</v>
      </c>
      <c r="X261" s="44">
        <v>0</v>
      </c>
      <c r="Y261" s="44">
        <v>0</v>
      </c>
      <c r="Z261" s="44">
        <v>0</v>
      </c>
      <c r="AA261" s="44">
        <v>24295.323137930995</v>
      </c>
      <c r="AB261" s="44">
        <v>0</v>
      </c>
      <c r="AC261" s="44">
        <v>80722.093522499999</v>
      </c>
      <c r="AD261" s="44">
        <v>0</v>
      </c>
      <c r="AE261" s="44">
        <v>16146.074495999994</v>
      </c>
      <c r="AF261" s="44">
        <v>0</v>
      </c>
      <c r="AG261" s="44">
        <v>138243.54</v>
      </c>
      <c r="AH261" s="44">
        <v>0</v>
      </c>
      <c r="AI261" s="44">
        <v>0</v>
      </c>
      <c r="AJ261" s="44">
        <v>0</v>
      </c>
      <c r="AK261" s="44">
        <v>5935.9620999999997</v>
      </c>
      <c r="AL261" s="44">
        <v>0</v>
      </c>
      <c r="AM261" s="44">
        <v>0</v>
      </c>
      <c r="AN261" s="44">
        <v>0</v>
      </c>
      <c r="AO261" s="44">
        <v>0</v>
      </c>
      <c r="AP261" s="44">
        <v>0</v>
      </c>
      <c r="AQ261" s="44">
        <v>0</v>
      </c>
      <c r="AR261" s="44">
        <v>0</v>
      </c>
      <c r="AS261" s="44">
        <v>0</v>
      </c>
      <c r="AT261" s="44">
        <v>729198.53039999993</v>
      </c>
      <c r="AU261" s="44">
        <v>391348.513856431</v>
      </c>
      <c r="AV261" s="44">
        <v>144179.50210000001</v>
      </c>
      <c r="AW261" s="44">
        <v>252274.53139249998</v>
      </c>
      <c r="AX261" s="62">
        <v>1264726.546356431</v>
      </c>
      <c r="AY261" s="62">
        <v>1258790.5842564311</v>
      </c>
      <c r="AZ261" s="62">
        <v>4610</v>
      </c>
      <c r="BA261" s="62">
        <v>940440</v>
      </c>
      <c r="BB261" s="62">
        <v>0</v>
      </c>
      <c r="BC261" s="62">
        <v>0</v>
      </c>
      <c r="BD261" s="62">
        <v>1264726.546356431</v>
      </c>
      <c r="BE261" s="44">
        <v>1264726.5463564307</v>
      </c>
      <c r="BF261" s="44">
        <v>0</v>
      </c>
      <c r="BG261" s="62">
        <v>946375.9621</v>
      </c>
      <c r="BH261" s="62">
        <v>802196.46</v>
      </c>
      <c r="BI261" s="44">
        <v>1120547.0442564311</v>
      </c>
      <c r="BJ261" s="44">
        <v>5492.8776679236817</v>
      </c>
      <c r="BK261" s="44">
        <v>5418.3619773195869</v>
      </c>
      <c r="BL261" s="45">
        <v>1.3752438636622236E-2</v>
      </c>
      <c r="BM261" s="45">
        <v>0</v>
      </c>
      <c r="BN261" s="44">
        <v>0</v>
      </c>
      <c r="BO261" s="62">
        <v>1264726.546356431</v>
      </c>
      <c r="BP261" s="62">
        <v>6170.5420796883873</v>
      </c>
      <c r="BQ261" s="62" t="s">
        <v>92</v>
      </c>
      <c r="BR261" s="62">
        <v>6199.6399331197599</v>
      </c>
      <c r="BS261" s="53">
        <v>8.040844315498008E-3</v>
      </c>
      <c r="BT261" s="44">
        <v>0</v>
      </c>
      <c r="BU261" s="44">
        <v>1264726.546356431</v>
      </c>
      <c r="BV261" s="44">
        <v>0</v>
      </c>
      <c r="BW261" s="44">
        <v>1264726.546356431</v>
      </c>
      <c r="BX261" s="44">
        <v>5935.9620999999997</v>
      </c>
      <c r="BY261" s="44">
        <v>1258790.5842564311</v>
      </c>
    </row>
    <row r="262" spans="1:77">
      <c r="A262">
        <v>0</v>
      </c>
      <c r="B262" s="60">
        <v>149305</v>
      </c>
      <c r="C262" s="60">
        <v>3302429</v>
      </c>
      <c r="D262" s="61" t="s">
        <v>969</v>
      </c>
      <c r="E262" s="52">
        <v>159</v>
      </c>
      <c r="F262" s="52">
        <v>159</v>
      </c>
      <c r="G262" s="52">
        <v>0</v>
      </c>
      <c r="H262" s="44">
        <v>568345.91339999996</v>
      </c>
      <c r="I262" s="44">
        <v>0</v>
      </c>
      <c r="J262" s="44">
        <v>0</v>
      </c>
      <c r="K262" s="44">
        <v>16718.476599999969</v>
      </c>
      <c r="L262" s="44">
        <v>0</v>
      </c>
      <c r="M262" s="44">
        <v>27977.858799999947</v>
      </c>
      <c r="N262" s="44">
        <v>0</v>
      </c>
      <c r="O262" s="44">
        <v>4244.8463999999885</v>
      </c>
      <c r="P262" s="44">
        <v>1430.001499999998</v>
      </c>
      <c r="Q262" s="44">
        <v>446.56190000000009</v>
      </c>
      <c r="R262" s="44">
        <v>6327.1299000000017</v>
      </c>
      <c r="S262" s="44">
        <v>1033.6152000000034</v>
      </c>
      <c r="T262" s="44">
        <v>1364.7736000000045</v>
      </c>
      <c r="U262" s="44">
        <v>0</v>
      </c>
      <c r="V262" s="44">
        <v>0</v>
      </c>
      <c r="W262" s="44">
        <v>0</v>
      </c>
      <c r="X262" s="44">
        <v>0</v>
      </c>
      <c r="Y262" s="44">
        <v>0</v>
      </c>
      <c r="Z262" s="44">
        <v>0</v>
      </c>
      <c r="AA262" s="44">
        <v>30228.206958715633</v>
      </c>
      <c r="AB262" s="44">
        <v>0</v>
      </c>
      <c r="AC262" s="44">
        <v>47551.321349999977</v>
      </c>
      <c r="AD262" s="44">
        <v>0</v>
      </c>
      <c r="AE262" s="44">
        <v>0</v>
      </c>
      <c r="AF262" s="44">
        <v>0</v>
      </c>
      <c r="AG262" s="44">
        <v>138243.54</v>
      </c>
      <c r="AH262" s="44">
        <v>0</v>
      </c>
      <c r="AI262" s="44">
        <v>0</v>
      </c>
      <c r="AJ262" s="44">
        <v>0</v>
      </c>
      <c r="AK262" s="44">
        <v>16012.7405</v>
      </c>
      <c r="AL262" s="44">
        <v>0</v>
      </c>
      <c r="AM262" s="44">
        <v>0</v>
      </c>
      <c r="AN262" s="44">
        <v>0</v>
      </c>
      <c r="AO262" s="44">
        <v>0</v>
      </c>
      <c r="AP262" s="44">
        <v>0</v>
      </c>
      <c r="AQ262" s="44">
        <v>0</v>
      </c>
      <c r="AR262" s="44">
        <v>0</v>
      </c>
      <c r="AS262" s="44">
        <v>0</v>
      </c>
      <c r="AT262" s="44">
        <v>568345.91339999996</v>
      </c>
      <c r="AU262" s="44">
        <v>137322.79220871552</v>
      </c>
      <c r="AV262" s="44">
        <v>154256.28049999999</v>
      </c>
      <c r="AW262" s="44">
        <v>105740.24896999993</v>
      </c>
      <c r="AX262" s="62">
        <v>859924.98610871553</v>
      </c>
      <c r="AY262" s="62">
        <v>843912.24560871557</v>
      </c>
      <c r="AZ262" s="62">
        <v>4610</v>
      </c>
      <c r="BA262" s="62">
        <v>732990</v>
      </c>
      <c r="BB262" s="62">
        <v>0</v>
      </c>
      <c r="BC262" s="62">
        <v>0</v>
      </c>
      <c r="BD262" s="62">
        <v>859924.98610871553</v>
      </c>
      <c r="BE262" s="44">
        <v>859924.98610871553</v>
      </c>
      <c r="BF262" s="44">
        <v>0</v>
      </c>
      <c r="BG262" s="62">
        <v>749002.74049999996</v>
      </c>
      <c r="BH262" s="62">
        <v>594746.46</v>
      </c>
      <c r="BI262" s="44">
        <v>705668.70560871554</v>
      </c>
      <c r="BJ262" s="44">
        <v>4438.1679598032424</v>
      </c>
      <c r="BK262" s="44">
        <v>4278.8485797619051</v>
      </c>
      <c r="BL262" s="45">
        <v>3.7234171079314662E-2</v>
      </c>
      <c r="BM262" s="45">
        <v>0</v>
      </c>
      <c r="BN262" s="44">
        <v>0</v>
      </c>
      <c r="BO262" s="62">
        <v>859924.98610871553</v>
      </c>
      <c r="BP262" s="62">
        <v>5307.6241862183369</v>
      </c>
      <c r="BQ262" s="62" t="s">
        <v>92</v>
      </c>
      <c r="BR262" s="62">
        <v>5408.3332459667645</v>
      </c>
      <c r="BS262" s="53">
        <v>4.121250477758398E-2</v>
      </c>
      <c r="BT262" s="44">
        <v>0</v>
      </c>
      <c r="BU262" s="44">
        <v>859924.98610871553</v>
      </c>
      <c r="BV262" s="44">
        <v>0</v>
      </c>
      <c r="BW262" s="44">
        <v>859924.98610871553</v>
      </c>
      <c r="BX262" s="44">
        <v>16012.7405</v>
      </c>
      <c r="BY262" s="44">
        <v>843912.24560871557</v>
      </c>
    </row>
    <row r="263" spans="1:77">
      <c r="A263">
        <v>0</v>
      </c>
      <c r="B263" s="60">
        <v>141270</v>
      </c>
      <c r="C263" s="60">
        <v>3302434</v>
      </c>
      <c r="D263" s="61" t="s">
        <v>970</v>
      </c>
      <c r="E263" s="52">
        <v>407</v>
      </c>
      <c r="F263" s="52">
        <v>407</v>
      </c>
      <c r="G263" s="52">
        <v>0</v>
      </c>
      <c r="H263" s="44">
        <v>1454822.5581999999</v>
      </c>
      <c r="I263" s="44">
        <v>0</v>
      </c>
      <c r="J263" s="44">
        <v>0</v>
      </c>
      <c r="K263" s="44">
        <v>107686.65809999999</v>
      </c>
      <c r="L263" s="44">
        <v>0</v>
      </c>
      <c r="M263" s="44">
        <v>180210.32579999996</v>
      </c>
      <c r="N263" s="44">
        <v>0</v>
      </c>
      <c r="O263" s="44">
        <v>1650.7736</v>
      </c>
      <c r="P263" s="44">
        <v>4576.0047999999979</v>
      </c>
      <c r="Q263" s="44">
        <v>91098.627599999963</v>
      </c>
      <c r="R263" s="44">
        <v>17034.5805</v>
      </c>
      <c r="S263" s="44">
        <v>34626.109200000079</v>
      </c>
      <c r="T263" s="44">
        <v>39578.434400000137</v>
      </c>
      <c r="U263" s="44">
        <v>0</v>
      </c>
      <c r="V263" s="44">
        <v>0</v>
      </c>
      <c r="W263" s="44">
        <v>0</v>
      </c>
      <c r="X263" s="44">
        <v>0</v>
      </c>
      <c r="Y263" s="44">
        <v>0</v>
      </c>
      <c r="Z263" s="44">
        <v>0</v>
      </c>
      <c r="AA263" s="44">
        <v>6268.0800771676259</v>
      </c>
      <c r="AB263" s="44">
        <v>0</v>
      </c>
      <c r="AC263" s="44">
        <v>147679.50731775034</v>
      </c>
      <c r="AD263" s="44">
        <v>0</v>
      </c>
      <c r="AE263" s="44">
        <v>0</v>
      </c>
      <c r="AF263" s="44">
        <v>0</v>
      </c>
      <c r="AG263" s="44">
        <v>138243.54</v>
      </c>
      <c r="AH263" s="44">
        <v>0</v>
      </c>
      <c r="AI263" s="44">
        <v>0</v>
      </c>
      <c r="AJ263" s="44">
        <v>0</v>
      </c>
      <c r="AK263" s="44">
        <v>7631.9498000000003</v>
      </c>
      <c r="AL263" s="44">
        <v>0</v>
      </c>
      <c r="AM263" s="44">
        <v>0</v>
      </c>
      <c r="AN263" s="44">
        <v>0</v>
      </c>
      <c r="AO263" s="44">
        <v>0</v>
      </c>
      <c r="AP263" s="44">
        <v>0</v>
      </c>
      <c r="AQ263" s="44">
        <v>0</v>
      </c>
      <c r="AR263" s="44">
        <v>0</v>
      </c>
      <c r="AS263" s="44">
        <v>0</v>
      </c>
      <c r="AT263" s="44">
        <v>1454822.5581999999</v>
      </c>
      <c r="AU263" s="44">
        <v>630409.10139491805</v>
      </c>
      <c r="AV263" s="44">
        <v>145875.48980000001</v>
      </c>
      <c r="AW263" s="44">
        <v>458651.39222775039</v>
      </c>
      <c r="AX263" s="62">
        <v>2231107.1493949178</v>
      </c>
      <c r="AY263" s="62">
        <v>2223475.1995949177</v>
      </c>
      <c r="AZ263" s="62">
        <v>4610</v>
      </c>
      <c r="BA263" s="62">
        <v>1876270</v>
      </c>
      <c r="BB263" s="62">
        <v>0</v>
      </c>
      <c r="BC263" s="62">
        <v>0</v>
      </c>
      <c r="BD263" s="62">
        <v>2231107.1493949178</v>
      </c>
      <c r="BE263" s="44">
        <v>2231107.1493949178</v>
      </c>
      <c r="BF263" s="44">
        <v>0</v>
      </c>
      <c r="BG263" s="62">
        <v>1883901.9498000001</v>
      </c>
      <c r="BH263" s="62">
        <v>1738026.46</v>
      </c>
      <c r="BI263" s="44">
        <v>2085231.6595949177</v>
      </c>
      <c r="BJ263" s="44">
        <v>5123.4193110440237</v>
      </c>
      <c r="BK263" s="44">
        <v>5054.4007450980389</v>
      </c>
      <c r="BL263" s="45">
        <v>1.3655143196336742E-2</v>
      </c>
      <c r="BM263" s="45">
        <v>0</v>
      </c>
      <c r="BN263" s="44">
        <v>0</v>
      </c>
      <c r="BO263" s="62">
        <v>2231107.1493949178</v>
      </c>
      <c r="BP263" s="62">
        <v>5463.0840284887408</v>
      </c>
      <c r="BQ263" s="62" t="s">
        <v>92</v>
      </c>
      <c r="BR263" s="62">
        <v>5481.8357478990611</v>
      </c>
      <c r="BS263" s="53">
        <v>1.3773385017623596E-2</v>
      </c>
      <c r="BT263" s="44">
        <v>0</v>
      </c>
      <c r="BU263" s="44">
        <v>2231107.1493949178</v>
      </c>
      <c r="BV263" s="44">
        <v>0</v>
      </c>
      <c r="BW263" s="44">
        <v>2231107.1493949178</v>
      </c>
      <c r="BX263" s="44">
        <v>7631.9498000000003</v>
      </c>
      <c r="BY263" s="44">
        <v>2223475.1995949177</v>
      </c>
    </row>
    <row r="264" spans="1:77">
      <c r="A264">
        <v>0</v>
      </c>
      <c r="B264" s="60">
        <v>142686</v>
      </c>
      <c r="C264" s="60">
        <v>3302443</v>
      </c>
      <c r="D264" s="61" t="s">
        <v>971</v>
      </c>
      <c r="E264" s="52">
        <v>355</v>
      </c>
      <c r="F264" s="52">
        <v>355</v>
      </c>
      <c r="G264" s="52">
        <v>0</v>
      </c>
      <c r="H264" s="44">
        <v>1268948.423</v>
      </c>
      <c r="I264" s="44">
        <v>0</v>
      </c>
      <c r="J264" s="44">
        <v>0</v>
      </c>
      <c r="K264" s="44">
        <v>89984.741700000013</v>
      </c>
      <c r="L264" s="44">
        <v>0</v>
      </c>
      <c r="M264" s="44">
        <v>152232.46699999992</v>
      </c>
      <c r="N264" s="44">
        <v>0</v>
      </c>
      <c r="O264" s="44">
        <v>1886.5983999999974</v>
      </c>
      <c r="P264" s="44">
        <v>2574.0026999999964</v>
      </c>
      <c r="Q264" s="44">
        <v>2679.3713999999959</v>
      </c>
      <c r="R264" s="44">
        <v>128002.70489999997</v>
      </c>
      <c r="S264" s="44">
        <v>25323.572400000088</v>
      </c>
      <c r="T264" s="44">
        <v>4776.7075999999925</v>
      </c>
      <c r="U264" s="44">
        <v>0</v>
      </c>
      <c r="V264" s="44">
        <v>0</v>
      </c>
      <c r="W264" s="44">
        <v>0</v>
      </c>
      <c r="X264" s="44">
        <v>0</v>
      </c>
      <c r="Y264" s="44">
        <v>0</v>
      </c>
      <c r="Z264" s="44">
        <v>0</v>
      </c>
      <c r="AA264" s="44">
        <v>76243.63991666674</v>
      </c>
      <c r="AB264" s="44">
        <v>0</v>
      </c>
      <c r="AC264" s="44">
        <v>142275.41214435623</v>
      </c>
      <c r="AD264" s="44">
        <v>0</v>
      </c>
      <c r="AE264" s="44">
        <v>0</v>
      </c>
      <c r="AF264" s="44">
        <v>0</v>
      </c>
      <c r="AG264" s="44">
        <v>138243.54</v>
      </c>
      <c r="AH264" s="44">
        <v>0</v>
      </c>
      <c r="AI264" s="44">
        <v>0</v>
      </c>
      <c r="AJ264" s="44">
        <v>0</v>
      </c>
      <c r="AK264" s="44">
        <v>7154.9567999999999</v>
      </c>
      <c r="AL264" s="44">
        <v>0</v>
      </c>
      <c r="AM264" s="44">
        <v>0</v>
      </c>
      <c r="AN264" s="44">
        <v>0</v>
      </c>
      <c r="AO264" s="44">
        <v>0</v>
      </c>
      <c r="AP264" s="44">
        <v>0</v>
      </c>
      <c r="AQ264" s="44">
        <v>0</v>
      </c>
      <c r="AR264" s="44">
        <v>0</v>
      </c>
      <c r="AS264" s="44">
        <v>0</v>
      </c>
      <c r="AT264" s="44">
        <v>1268948.423</v>
      </c>
      <c r="AU264" s="44">
        <v>625979.21816102287</v>
      </c>
      <c r="AV264" s="44">
        <v>145398.49680000002</v>
      </c>
      <c r="AW264" s="44">
        <v>409452.91634435626</v>
      </c>
      <c r="AX264" s="62">
        <v>2040326.1379610228</v>
      </c>
      <c r="AY264" s="62">
        <v>2033171.1811610227</v>
      </c>
      <c r="AZ264" s="62">
        <v>4610</v>
      </c>
      <c r="BA264" s="62">
        <v>1636550</v>
      </c>
      <c r="BB264" s="62">
        <v>0</v>
      </c>
      <c r="BC264" s="62">
        <v>0</v>
      </c>
      <c r="BD264" s="62">
        <v>2040326.1379610228</v>
      </c>
      <c r="BE264" s="44">
        <v>2040326.1379610235</v>
      </c>
      <c r="BF264" s="44">
        <v>0</v>
      </c>
      <c r="BG264" s="62">
        <v>1643704.9568</v>
      </c>
      <c r="BH264" s="62">
        <v>1498306.46</v>
      </c>
      <c r="BI264" s="44">
        <v>1894927.6411610227</v>
      </c>
      <c r="BJ264" s="44">
        <v>5337.8243412986558</v>
      </c>
      <c r="BK264" s="44">
        <v>5188.1228498644987</v>
      </c>
      <c r="BL264" s="45">
        <v>2.8854654326095412E-2</v>
      </c>
      <c r="BM264" s="45">
        <v>0</v>
      </c>
      <c r="BN264" s="44">
        <v>0</v>
      </c>
      <c r="BO264" s="62">
        <v>2040326.1379610228</v>
      </c>
      <c r="BP264" s="62">
        <v>5727.2427638338668</v>
      </c>
      <c r="BQ264" s="62" t="s">
        <v>92</v>
      </c>
      <c r="BR264" s="62">
        <v>5747.3975717211906</v>
      </c>
      <c r="BS264" s="53">
        <v>2.9474317230274716E-2</v>
      </c>
      <c r="BT264" s="44">
        <v>0</v>
      </c>
      <c r="BU264" s="44">
        <v>2040326.1379610228</v>
      </c>
      <c r="BV264" s="44">
        <v>0</v>
      </c>
      <c r="BW264" s="44">
        <v>2040326.1379610228</v>
      </c>
      <c r="BX264" s="44">
        <v>7154.9567999999999</v>
      </c>
      <c r="BY264" s="44">
        <v>2033171.1811610227</v>
      </c>
    </row>
    <row r="265" spans="1:77">
      <c r="A265">
        <v>0</v>
      </c>
      <c r="B265" s="60">
        <v>143087</v>
      </c>
      <c r="C265" s="60">
        <v>3302447</v>
      </c>
      <c r="D265" s="61" t="s">
        <v>972</v>
      </c>
      <c r="E265" s="52">
        <v>604</v>
      </c>
      <c r="F265" s="52">
        <v>604</v>
      </c>
      <c r="G265" s="52">
        <v>0</v>
      </c>
      <c r="H265" s="44">
        <v>2158999.5704000001</v>
      </c>
      <c r="I265" s="44">
        <v>0</v>
      </c>
      <c r="J265" s="44">
        <v>0</v>
      </c>
      <c r="K265" s="44">
        <v>174068.84459999998</v>
      </c>
      <c r="L265" s="44">
        <v>0</v>
      </c>
      <c r="M265" s="44">
        <v>292944.63920000009</v>
      </c>
      <c r="N265" s="44">
        <v>0</v>
      </c>
      <c r="O265" s="44">
        <v>23582.480000000036</v>
      </c>
      <c r="P265" s="44">
        <v>6292.0065999999915</v>
      </c>
      <c r="Q265" s="44">
        <v>21881.53309999999</v>
      </c>
      <c r="R265" s="44">
        <v>10220.748299999999</v>
      </c>
      <c r="S265" s="44">
        <v>111113.63399999992</v>
      </c>
      <c r="T265" s="44">
        <v>115323.3691999999</v>
      </c>
      <c r="U265" s="44">
        <v>0</v>
      </c>
      <c r="V265" s="44">
        <v>0</v>
      </c>
      <c r="W265" s="44">
        <v>0</v>
      </c>
      <c r="X265" s="44">
        <v>0</v>
      </c>
      <c r="Y265" s="44">
        <v>0</v>
      </c>
      <c r="Z265" s="44">
        <v>0</v>
      </c>
      <c r="AA265" s="44">
        <v>70406.809324756439</v>
      </c>
      <c r="AB265" s="44">
        <v>0</v>
      </c>
      <c r="AC265" s="44">
        <v>217765.95786658919</v>
      </c>
      <c r="AD265" s="44">
        <v>0</v>
      </c>
      <c r="AE265" s="44">
        <v>2658.900096000024</v>
      </c>
      <c r="AF265" s="44">
        <v>0</v>
      </c>
      <c r="AG265" s="44">
        <v>138243.54</v>
      </c>
      <c r="AH265" s="44">
        <v>0</v>
      </c>
      <c r="AI265" s="44">
        <v>0</v>
      </c>
      <c r="AJ265" s="44">
        <v>0</v>
      </c>
      <c r="AK265" s="44">
        <v>4027.9798000000001</v>
      </c>
      <c r="AL265" s="44">
        <v>0</v>
      </c>
      <c r="AM265" s="44">
        <v>0</v>
      </c>
      <c r="AN265" s="44">
        <v>0</v>
      </c>
      <c r="AO265" s="44">
        <v>0</v>
      </c>
      <c r="AP265" s="44">
        <v>0</v>
      </c>
      <c r="AQ265" s="44">
        <v>0</v>
      </c>
      <c r="AR265" s="44">
        <v>0</v>
      </c>
      <c r="AS265" s="44">
        <v>0</v>
      </c>
      <c r="AT265" s="44">
        <v>2158999.5704000001</v>
      </c>
      <c r="AU265" s="44">
        <v>1046258.9222873456</v>
      </c>
      <c r="AV265" s="44">
        <v>142271.51980000001</v>
      </c>
      <c r="AW265" s="44">
        <v>703429.56388658914</v>
      </c>
      <c r="AX265" s="62">
        <v>3347530.0124873454</v>
      </c>
      <c r="AY265" s="62">
        <v>3343502.0326873455</v>
      </c>
      <c r="AZ265" s="62">
        <v>4610</v>
      </c>
      <c r="BA265" s="62">
        <v>2784440</v>
      </c>
      <c r="BB265" s="62">
        <v>0</v>
      </c>
      <c r="BC265" s="62">
        <v>0</v>
      </c>
      <c r="BD265" s="62">
        <v>3347530.0124873454</v>
      </c>
      <c r="BE265" s="44">
        <v>3347530.0124873458</v>
      </c>
      <c r="BF265" s="44">
        <v>0</v>
      </c>
      <c r="BG265" s="62">
        <v>2788467.9797999999</v>
      </c>
      <c r="BH265" s="62">
        <v>2646196.46</v>
      </c>
      <c r="BI265" s="44">
        <v>3205258.4926873455</v>
      </c>
      <c r="BJ265" s="44">
        <v>5306.7193587538832</v>
      </c>
      <c r="BK265" s="44">
        <v>5177.7406527918783</v>
      </c>
      <c r="BL265" s="45">
        <v>2.491022911556192E-2</v>
      </c>
      <c r="BM265" s="45">
        <v>0</v>
      </c>
      <c r="BN265" s="44">
        <v>0</v>
      </c>
      <c r="BO265" s="62">
        <v>3347530.0124873454</v>
      </c>
      <c r="BP265" s="62">
        <v>5535.5993918664662</v>
      </c>
      <c r="BQ265" s="62" t="s">
        <v>92</v>
      </c>
      <c r="BR265" s="62">
        <v>5542.2682325949427</v>
      </c>
      <c r="BS265" s="53">
        <v>2.1915929247423582E-2</v>
      </c>
      <c r="BT265" s="44">
        <v>0</v>
      </c>
      <c r="BU265" s="44">
        <v>3347530.0124873454</v>
      </c>
      <c r="BV265" s="44">
        <v>0</v>
      </c>
      <c r="BW265" s="44">
        <v>3347530.0124873454</v>
      </c>
      <c r="BX265" s="44">
        <v>4027.9798000000001</v>
      </c>
      <c r="BY265" s="44">
        <v>3343502.0326873455</v>
      </c>
    </row>
    <row r="266" spans="1:77">
      <c r="A266">
        <v>0</v>
      </c>
      <c r="B266" s="60">
        <v>142794</v>
      </c>
      <c r="C266" s="60">
        <v>3302448</v>
      </c>
      <c r="D266" s="61" t="s">
        <v>973</v>
      </c>
      <c r="E266" s="52">
        <v>197</v>
      </c>
      <c r="F266" s="52">
        <v>197</v>
      </c>
      <c r="G266" s="52">
        <v>0</v>
      </c>
      <c r="H266" s="44">
        <v>704177.0122</v>
      </c>
      <c r="I266" s="44">
        <v>0</v>
      </c>
      <c r="J266" s="44">
        <v>0</v>
      </c>
      <c r="K266" s="44">
        <v>59498.107899999988</v>
      </c>
      <c r="L266" s="44">
        <v>0</v>
      </c>
      <c r="M266" s="44">
        <v>99568.262199999983</v>
      </c>
      <c r="N266" s="44">
        <v>0</v>
      </c>
      <c r="O266" s="44">
        <v>711.08396326530658</v>
      </c>
      <c r="P266" s="44">
        <v>1149.837940816325</v>
      </c>
      <c r="Q266" s="44">
        <v>20646.652743877512</v>
      </c>
      <c r="R266" s="44">
        <v>1467.5564250000009</v>
      </c>
      <c r="S266" s="44">
        <v>62333.324816326567</v>
      </c>
      <c r="T266" s="44">
        <v>8916.2887489795921</v>
      </c>
      <c r="U266" s="44">
        <v>0</v>
      </c>
      <c r="V266" s="44">
        <v>0</v>
      </c>
      <c r="W266" s="44">
        <v>0</v>
      </c>
      <c r="X266" s="44">
        <v>0</v>
      </c>
      <c r="Y266" s="44">
        <v>0</v>
      </c>
      <c r="Z266" s="44">
        <v>0</v>
      </c>
      <c r="AA266" s="44">
        <v>12422.978765680478</v>
      </c>
      <c r="AB266" s="44">
        <v>0</v>
      </c>
      <c r="AC266" s="44">
        <v>71739.456567737827</v>
      </c>
      <c r="AD266" s="44">
        <v>0</v>
      </c>
      <c r="AE266" s="44">
        <v>3063.5153279999936</v>
      </c>
      <c r="AF266" s="44">
        <v>0</v>
      </c>
      <c r="AG266" s="44">
        <v>138243.54</v>
      </c>
      <c r="AH266" s="44">
        <v>0</v>
      </c>
      <c r="AI266" s="44">
        <v>0</v>
      </c>
      <c r="AJ266" s="44">
        <v>0</v>
      </c>
      <c r="AK266" s="44">
        <v>5352.9718000000003</v>
      </c>
      <c r="AL266" s="44">
        <v>0</v>
      </c>
      <c r="AM266" s="44">
        <v>0</v>
      </c>
      <c r="AN266" s="44">
        <v>0</v>
      </c>
      <c r="AO266" s="44">
        <v>0</v>
      </c>
      <c r="AP266" s="44">
        <v>0</v>
      </c>
      <c r="AQ266" s="44">
        <v>0</v>
      </c>
      <c r="AR266" s="44">
        <v>0</v>
      </c>
      <c r="AS266" s="44">
        <v>0</v>
      </c>
      <c r="AT266" s="44">
        <v>704177.0122</v>
      </c>
      <c r="AU266" s="44">
        <v>341517.0653996836</v>
      </c>
      <c r="AV266" s="44">
        <v>143596.51180000001</v>
      </c>
      <c r="AW266" s="44">
        <v>234093.86454687046</v>
      </c>
      <c r="AX266" s="62">
        <v>1189290.5893996835</v>
      </c>
      <c r="AY266" s="62">
        <v>1183937.6175996836</v>
      </c>
      <c r="AZ266" s="62">
        <v>4610</v>
      </c>
      <c r="BA266" s="62">
        <v>908170</v>
      </c>
      <c r="BB266" s="62">
        <v>0</v>
      </c>
      <c r="BC266" s="62">
        <v>0</v>
      </c>
      <c r="BD266" s="62">
        <v>1189290.5893996835</v>
      </c>
      <c r="BE266" s="44">
        <v>1189290.5893996835</v>
      </c>
      <c r="BF266" s="44">
        <v>0</v>
      </c>
      <c r="BG266" s="62">
        <v>913522.97180000006</v>
      </c>
      <c r="BH266" s="62">
        <v>769926.46</v>
      </c>
      <c r="BI266" s="44">
        <v>1045694.0775996834</v>
      </c>
      <c r="BJ266" s="44">
        <v>5308.0917644653982</v>
      </c>
      <c r="BK266" s="44">
        <v>5126.9194010204092</v>
      </c>
      <c r="BL266" s="45">
        <v>3.533747056935016E-2</v>
      </c>
      <c r="BM266" s="45">
        <v>0</v>
      </c>
      <c r="BN266" s="44">
        <v>0</v>
      </c>
      <c r="BO266" s="62">
        <v>1189290.5893996835</v>
      </c>
      <c r="BP266" s="62">
        <v>6009.8356223334195</v>
      </c>
      <c r="BQ266" s="62" t="s">
        <v>92</v>
      </c>
      <c r="BR266" s="62">
        <v>6037.0080680186984</v>
      </c>
      <c r="BS266" s="53">
        <v>3.1579963922104159E-2</v>
      </c>
      <c r="BT266" s="44">
        <v>0</v>
      </c>
      <c r="BU266" s="44">
        <v>1189290.5893996835</v>
      </c>
      <c r="BV266" s="44">
        <v>0</v>
      </c>
      <c r="BW266" s="44">
        <v>1189290.5893996835</v>
      </c>
      <c r="BX266" s="44">
        <v>5352.9718000000003</v>
      </c>
      <c r="BY266" s="44">
        <v>1183937.6175996836</v>
      </c>
    </row>
    <row r="267" spans="1:77">
      <c r="A267">
        <v>0</v>
      </c>
      <c r="B267" s="60">
        <v>140518</v>
      </c>
      <c r="C267" s="60">
        <v>3302449</v>
      </c>
      <c r="D267" s="61" t="s">
        <v>974</v>
      </c>
      <c r="E267" s="52">
        <v>405</v>
      </c>
      <c r="F267" s="52">
        <v>405</v>
      </c>
      <c r="G267" s="52">
        <v>0</v>
      </c>
      <c r="H267" s="44">
        <v>1447673.5529999998</v>
      </c>
      <c r="I267" s="44">
        <v>0</v>
      </c>
      <c r="J267" s="44">
        <v>0</v>
      </c>
      <c r="K267" s="44">
        <v>96868.820300000036</v>
      </c>
      <c r="L267" s="44">
        <v>0</v>
      </c>
      <c r="M267" s="44">
        <v>164575.63999999996</v>
      </c>
      <c r="N267" s="44">
        <v>0</v>
      </c>
      <c r="O267" s="44">
        <v>2132.9563176178617</v>
      </c>
      <c r="P267" s="44">
        <v>2011.9375942928036</v>
      </c>
      <c r="Q267" s="44">
        <v>22438.904404466575</v>
      </c>
      <c r="R267" s="44">
        <v>17119.11936104218</v>
      </c>
      <c r="S267" s="44">
        <v>90370.797945409373</v>
      </c>
      <c r="T267" s="44">
        <v>58976.5068089329</v>
      </c>
      <c r="U267" s="44">
        <v>0</v>
      </c>
      <c r="V267" s="44">
        <v>0</v>
      </c>
      <c r="W267" s="44">
        <v>0</v>
      </c>
      <c r="X267" s="44">
        <v>0</v>
      </c>
      <c r="Y267" s="44">
        <v>0</v>
      </c>
      <c r="Z267" s="44">
        <v>0</v>
      </c>
      <c r="AA267" s="44">
        <v>37508.849195530835</v>
      </c>
      <c r="AB267" s="44">
        <v>0</v>
      </c>
      <c r="AC267" s="44">
        <v>143874.31603470564</v>
      </c>
      <c r="AD267" s="44">
        <v>0</v>
      </c>
      <c r="AE267" s="44">
        <v>0</v>
      </c>
      <c r="AF267" s="44">
        <v>0</v>
      </c>
      <c r="AG267" s="44">
        <v>138243.54</v>
      </c>
      <c r="AH267" s="44">
        <v>0</v>
      </c>
      <c r="AI267" s="44">
        <v>0</v>
      </c>
      <c r="AJ267" s="44">
        <v>0</v>
      </c>
      <c r="AK267" s="44">
        <v>5564.9664000000002</v>
      </c>
      <c r="AL267" s="44">
        <v>0</v>
      </c>
      <c r="AM267" s="44">
        <v>0</v>
      </c>
      <c r="AN267" s="44">
        <v>0</v>
      </c>
      <c r="AO267" s="44">
        <v>0</v>
      </c>
      <c r="AP267" s="44">
        <v>0</v>
      </c>
      <c r="AQ267" s="44">
        <v>0</v>
      </c>
      <c r="AR267" s="44">
        <v>0</v>
      </c>
      <c r="AS267" s="44">
        <v>0</v>
      </c>
      <c r="AT267" s="44">
        <v>1447673.5529999998</v>
      </c>
      <c r="AU267" s="44">
        <v>635877.84796199808</v>
      </c>
      <c r="AV267" s="44">
        <v>143808.50640000001</v>
      </c>
      <c r="AW267" s="44">
        <v>443505.33505058638</v>
      </c>
      <c r="AX267" s="62">
        <v>2227359.9073619978</v>
      </c>
      <c r="AY267" s="62">
        <v>2221794.940961998</v>
      </c>
      <c r="AZ267" s="62">
        <v>4610</v>
      </c>
      <c r="BA267" s="62">
        <v>1867050</v>
      </c>
      <c r="BB267" s="62">
        <v>0</v>
      </c>
      <c r="BC267" s="62">
        <v>0</v>
      </c>
      <c r="BD267" s="62">
        <v>2227359.9073619978</v>
      </c>
      <c r="BE267" s="44">
        <v>2227359.9073619978</v>
      </c>
      <c r="BF267" s="44">
        <v>0</v>
      </c>
      <c r="BG267" s="62">
        <v>1872614.9664</v>
      </c>
      <c r="BH267" s="62">
        <v>1728806.46</v>
      </c>
      <c r="BI267" s="44">
        <v>2083551.4009619977</v>
      </c>
      <c r="BJ267" s="44">
        <v>5144.5713603999939</v>
      </c>
      <c r="BK267" s="44">
        <v>5327.8353763285022</v>
      </c>
      <c r="BL267" s="45">
        <v>-3.4397462193135282E-2</v>
      </c>
      <c r="BM267" s="45">
        <v>3.939746219313528E-2</v>
      </c>
      <c r="BN267" s="44">
        <v>85010.793088111095</v>
      </c>
      <c r="BO267" s="62">
        <v>2312370.7004501089</v>
      </c>
      <c r="BP267" s="62">
        <v>5695.81662728422</v>
      </c>
      <c r="BQ267" s="62" t="s">
        <v>92</v>
      </c>
      <c r="BR267" s="62">
        <v>5709.5572850619974</v>
      </c>
      <c r="BS267" s="53">
        <v>6.2116852831466396E-3</v>
      </c>
      <c r="BT267" s="44">
        <v>0</v>
      </c>
      <c r="BU267" s="44">
        <v>2312370.7004501089</v>
      </c>
      <c r="BV267" s="44">
        <v>0</v>
      </c>
      <c r="BW267" s="44">
        <v>2312370.7004501089</v>
      </c>
      <c r="BX267" s="44">
        <v>5564.9664000000002</v>
      </c>
      <c r="BY267" s="44">
        <v>2306805.7340501091</v>
      </c>
    </row>
    <row r="268" spans="1:77">
      <c r="A268">
        <v>0</v>
      </c>
      <c r="B268" s="60">
        <v>138694</v>
      </c>
      <c r="C268" s="60">
        <v>3302450</v>
      </c>
      <c r="D268" s="61" t="s">
        <v>975</v>
      </c>
      <c r="E268" s="52">
        <v>417</v>
      </c>
      <c r="F268" s="52">
        <v>417</v>
      </c>
      <c r="G268" s="52">
        <v>0</v>
      </c>
      <c r="H268" s="44">
        <v>1490567.5841999999</v>
      </c>
      <c r="I268" s="44">
        <v>0</v>
      </c>
      <c r="J268" s="44">
        <v>0</v>
      </c>
      <c r="K268" s="44">
        <v>61464.987500000047</v>
      </c>
      <c r="L268" s="44">
        <v>0</v>
      </c>
      <c r="M268" s="44">
        <v>102859.77500000008</v>
      </c>
      <c r="N268" s="44">
        <v>0</v>
      </c>
      <c r="O268" s="44">
        <v>14385.312799999991</v>
      </c>
      <c r="P268" s="44">
        <v>23452.024600000008</v>
      </c>
      <c r="Q268" s="44">
        <v>6698.4284999999927</v>
      </c>
      <c r="R268" s="44">
        <v>1946.8092000000004</v>
      </c>
      <c r="S268" s="44">
        <v>18605.073600000007</v>
      </c>
      <c r="T268" s="44">
        <v>6823.8679999999931</v>
      </c>
      <c r="U268" s="44">
        <v>0</v>
      </c>
      <c r="V268" s="44">
        <v>0</v>
      </c>
      <c r="W268" s="44">
        <v>0</v>
      </c>
      <c r="X268" s="44">
        <v>0</v>
      </c>
      <c r="Y268" s="44">
        <v>0</v>
      </c>
      <c r="Z268" s="44">
        <v>0</v>
      </c>
      <c r="AA268" s="44">
        <v>22192.680026966296</v>
      </c>
      <c r="AB268" s="44">
        <v>0</v>
      </c>
      <c r="AC268" s="44">
        <v>139249.77108480557</v>
      </c>
      <c r="AD268" s="44">
        <v>0</v>
      </c>
      <c r="AE268" s="44">
        <v>0</v>
      </c>
      <c r="AF268" s="44">
        <v>0</v>
      </c>
      <c r="AG268" s="44">
        <v>138243.54</v>
      </c>
      <c r="AH268" s="44">
        <v>0</v>
      </c>
      <c r="AI268" s="44">
        <v>0</v>
      </c>
      <c r="AJ268" s="44">
        <v>0</v>
      </c>
      <c r="AK268" s="44">
        <v>5193.9706999999999</v>
      </c>
      <c r="AL268" s="44">
        <v>0</v>
      </c>
      <c r="AM268" s="44">
        <v>0</v>
      </c>
      <c r="AN268" s="44">
        <v>0</v>
      </c>
      <c r="AO268" s="44">
        <v>0</v>
      </c>
      <c r="AP268" s="44">
        <v>0</v>
      </c>
      <c r="AQ268" s="44">
        <v>0</v>
      </c>
      <c r="AR268" s="44">
        <v>0</v>
      </c>
      <c r="AS268" s="44">
        <v>0</v>
      </c>
      <c r="AT268" s="44">
        <v>1490567.5841999999</v>
      </c>
      <c r="AU268" s="44">
        <v>397678.73031177197</v>
      </c>
      <c r="AV268" s="44">
        <v>143437.51070000001</v>
      </c>
      <c r="AW268" s="44">
        <v>331896.28989480564</v>
      </c>
      <c r="AX268" s="62">
        <v>2031683.8252117718</v>
      </c>
      <c r="AY268" s="62">
        <v>2026489.8545117718</v>
      </c>
      <c r="AZ268" s="62">
        <v>4610</v>
      </c>
      <c r="BA268" s="62">
        <v>1922370</v>
      </c>
      <c r="BB268" s="62">
        <v>0</v>
      </c>
      <c r="BC268" s="62">
        <v>0</v>
      </c>
      <c r="BD268" s="62">
        <v>2031683.8252117718</v>
      </c>
      <c r="BE268" s="44">
        <v>2031683.825211772</v>
      </c>
      <c r="BF268" s="44">
        <v>0</v>
      </c>
      <c r="BG268" s="62">
        <v>1927563.9706999999</v>
      </c>
      <c r="BH268" s="62">
        <v>1784126.46</v>
      </c>
      <c r="BI268" s="44">
        <v>1888246.3145117718</v>
      </c>
      <c r="BJ268" s="44">
        <v>4528.1686199323067</v>
      </c>
      <c r="BK268" s="44">
        <v>4612.8630503597124</v>
      </c>
      <c r="BL268" s="45">
        <v>-1.8360490979848446E-2</v>
      </c>
      <c r="BM268" s="45">
        <v>2.3360490979848447E-2</v>
      </c>
      <c r="BN268" s="44">
        <v>44935.396948228175</v>
      </c>
      <c r="BO268" s="62">
        <v>2076619.2221599999</v>
      </c>
      <c r="BP268" s="62">
        <v>4967.4466461870506</v>
      </c>
      <c r="BQ268" s="62" t="s">
        <v>92</v>
      </c>
      <c r="BR268" s="62">
        <v>4979.9022114148675</v>
      </c>
      <c r="BS268" s="53">
        <v>4.5515011730454802E-3</v>
      </c>
      <c r="BT268" s="44">
        <v>0</v>
      </c>
      <c r="BU268" s="44">
        <v>2076619.2221599999</v>
      </c>
      <c r="BV268" s="44">
        <v>0</v>
      </c>
      <c r="BW268" s="44">
        <v>2076619.2221599999</v>
      </c>
      <c r="BX268" s="44">
        <v>5193.9706999999999</v>
      </c>
      <c r="BY268" s="44">
        <v>2071425.2514599999</v>
      </c>
    </row>
    <row r="269" spans="1:77">
      <c r="A269">
        <v>0</v>
      </c>
      <c r="B269" s="60">
        <v>141610</v>
      </c>
      <c r="C269" s="60">
        <v>3302451</v>
      </c>
      <c r="D269" s="61" t="s">
        <v>976</v>
      </c>
      <c r="E269" s="52">
        <v>413</v>
      </c>
      <c r="F269" s="52">
        <v>413</v>
      </c>
      <c r="G269" s="52">
        <v>0</v>
      </c>
      <c r="H269" s="44">
        <v>1476269.5737999999</v>
      </c>
      <c r="I269" s="44">
        <v>0</v>
      </c>
      <c r="J269" s="44">
        <v>0</v>
      </c>
      <c r="K269" s="44">
        <v>75724.864599999913</v>
      </c>
      <c r="L269" s="44">
        <v>0</v>
      </c>
      <c r="M269" s="44">
        <v>130014.75559999983</v>
      </c>
      <c r="N269" s="44">
        <v>0</v>
      </c>
      <c r="O269" s="44">
        <v>236.97236593673961</v>
      </c>
      <c r="P269" s="44">
        <v>574.78405790754243</v>
      </c>
      <c r="Q269" s="44">
        <v>15705.723271289535</v>
      </c>
      <c r="R269" s="44">
        <v>3912.5654481751812</v>
      </c>
      <c r="S269" s="44">
        <v>77898.371824817499</v>
      </c>
      <c r="T269" s="44">
        <v>59656.545281751736</v>
      </c>
      <c r="U269" s="44">
        <v>0</v>
      </c>
      <c r="V269" s="44">
        <v>0</v>
      </c>
      <c r="W269" s="44">
        <v>0</v>
      </c>
      <c r="X269" s="44">
        <v>0</v>
      </c>
      <c r="Y269" s="44">
        <v>0</v>
      </c>
      <c r="Z269" s="44">
        <v>0</v>
      </c>
      <c r="AA269" s="44">
        <v>14943.211659444443</v>
      </c>
      <c r="AB269" s="44">
        <v>0</v>
      </c>
      <c r="AC269" s="44">
        <v>144817.80423988434</v>
      </c>
      <c r="AD269" s="44">
        <v>0</v>
      </c>
      <c r="AE269" s="44">
        <v>3102.0501119999899</v>
      </c>
      <c r="AF269" s="44">
        <v>0</v>
      </c>
      <c r="AG269" s="44">
        <v>138243.54</v>
      </c>
      <c r="AH269" s="44">
        <v>0</v>
      </c>
      <c r="AI269" s="44">
        <v>0</v>
      </c>
      <c r="AJ269" s="44">
        <v>0</v>
      </c>
      <c r="AK269" s="44">
        <v>3285.9780999999998</v>
      </c>
      <c r="AL269" s="44">
        <v>0</v>
      </c>
      <c r="AM269" s="44">
        <v>0</v>
      </c>
      <c r="AN269" s="44">
        <v>0</v>
      </c>
      <c r="AO269" s="44">
        <v>0</v>
      </c>
      <c r="AP269" s="44">
        <v>0</v>
      </c>
      <c r="AQ269" s="44">
        <v>0</v>
      </c>
      <c r="AR269" s="44">
        <v>0</v>
      </c>
      <c r="AS269" s="44">
        <v>0</v>
      </c>
      <c r="AT269" s="44">
        <v>1476269.5737999999</v>
      </c>
      <c r="AU269" s="44">
        <v>526587.6484612067</v>
      </c>
      <c r="AV269" s="44">
        <v>141529.51810000002</v>
      </c>
      <c r="AW269" s="44">
        <v>400493.57415482332</v>
      </c>
      <c r="AX269" s="62">
        <v>2144386.7403612067</v>
      </c>
      <c r="AY269" s="62">
        <v>2141100.7622612067</v>
      </c>
      <c r="AZ269" s="62">
        <v>4610</v>
      </c>
      <c r="BA269" s="62">
        <v>1903930</v>
      </c>
      <c r="BB269" s="62">
        <v>0</v>
      </c>
      <c r="BC269" s="62">
        <v>0</v>
      </c>
      <c r="BD269" s="62">
        <v>2144386.7403612067</v>
      </c>
      <c r="BE269" s="44">
        <v>2144386.7403612067</v>
      </c>
      <c r="BF269" s="44">
        <v>0</v>
      </c>
      <c r="BG269" s="62">
        <v>1907215.9780999999</v>
      </c>
      <c r="BH269" s="62">
        <v>1765686.46</v>
      </c>
      <c r="BI269" s="44">
        <v>2002857.2222612067</v>
      </c>
      <c r="BJ269" s="44">
        <v>4849.5332258140597</v>
      </c>
      <c r="BK269" s="44">
        <v>4728.9389791348603</v>
      </c>
      <c r="BL269" s="45">
        <v>2.5501332796064455E-2</v>
      </c>
      <c r="BM269" s="45">
        <v>0</v>
      </c>
      <c r="BN269" s="44">
        <v>0</v>
      </c>
      <c r="BO269" s="62">
        <v>2144386.7403612067</v>
      </c>
      <c r="BP269" s="62">
        <v>5184.2633468794356</v>
      </c>
      <c r="BQ269" s="62" t="s">
        <v>92</v>
      </c>
      <c r="BR269" s="62">
        <v>5192.2197103176914</v>
      </c>
      <c r="BS269" s="53">
        <v>1.937450638886884E-2</v>
      </c>
      <c r="BT269" s="44">
        <v>0</v>
      </c>
      <c r="BU269" s="44">
        <v>2144386.7403612067</v>
      </c>
      <c r="BV269" s="44">
        <v>0</v>
      </c>
      <c r="BW269" s="44">
        <v>2144386.7403612067</v>
      </c>
      <c r="BX269" s="44">
        <v>3285.9780999999998</v>
      </c>
      <c r="BY269" s="44">
        <v>2141100.7622612067</v>
      </c>
    </row>
    <row r="270" spans="1:77">
      <c r="A270">
        <v>0</v>
      </c>
      <c r="B270" s="60">
        <v>139631</v>
      </c>
      <c r="C270" s="60">
        <v>3302452</v>
      </c>
      <c r="D270" s="61" t="s">
        <v>977</v>
      </c>
      <c r="E270" s="52">
        <v>200</v>
      </c>
      <c r="F270" s="52">
        <v>200</v>
      </c>
      <c r="G270" s="52">
        <v>0</v>
      </c>
      <c r="H270" s="44">
        <v>714900.52</v>
      </c>
      <c r="I270" s="44">
        <v>0</v>
      </c>
      <c r="J270" s="44">
        <v>0</v>
      </c>
      <c r="K270" s="44">
        <v>57039.508399999992</v>
      </c>
      <c r="L270" s="44">
        <v>0</v>
      </c>
      <c r="M270" s="44">
        <v>98745.384000000005</v>
      </c>
      <c r="N270" s="44">
        <v>0</v>
      </c>
      <c r="O270" s="44">
        <v>5716.9648484848385</v>
      </c>
      <c r="P270" s="44">
        <v>577.77838383838366</v>
      </c>
      <c r="Q270" s="44">
        <v>7668.2346464646498</v>
      </c>
      <c r="R270" s="44">
        <v>2458.0924242424289</v>
      </c>
      <c r="S270" s="44">
        <v>52724.81575757575</v>
      </c>
      <c r="T270" s="44">
        <v>26881.904242424243</v>
      </c>
      <c r="U270" s="44">
        <v>0</v>
      </c>
      <c r="V270" s="44">
        <v>0</v>
      </c>
      <c r="W270" s="44">
        <v>0</v>
      </c>
      <c r="X270" s="44">
        <v>0</v>
      </c>
      <c r="Y270" s="44">
        <v>0</v>
      </c>
      <c r="Z270" s="44">
        <v>0</v>
      </c>
      <c r="AA270" s="44">
        <v>15234.572865497086</v>
      </c>
      <c r="AB270" s="44">
        <v>0</v>
      </c>
      <c r="AC270" s="44">
        <v>75241.746851604839</v>
      </c>
      <c r="AD270" s="44">
        <v>0</v>
      </c>
      <c r="AE270" s="44">
        <v>14450.544000000002</v>
      </c>
      <c r="AF270" s="44">
        <v>0</v>
      </c>
      <c r="AG270" s="44">
        <v>138243.54</v>
      </c>
      <c r="AH270" s="44">
        <v>0</v>
      </c>
      <c r="AI270" s="44">
        <v>0</v>
      </c>
      <c r="AJ270" s="44">
        <v>0</v>
      </c>
      <c r="AK270" s="44">
        <v>5405.9652999999998</v>
      </c>
      <c r="AL270" s="44">
        <v>0</v>
      </c>
      <c r="AM270" s="44">
        <v>0</v>
      </c>
      <c r="AN270" s="44">
        <v>0</v>
      </c>
      <c r="AO270" s="44">
        <v>0</v>
      </c>
      <c r="AP270" s="44">
        <v>0</v>
      </c>
      <c r="AQ270" s="44">
        <v>0</v>
      </c>
      <c r="AR270" s="44">
        <v>0</v>
      </c>
      <c r="AS270" s="44">
        <v>0</v>
      </c>
      <c r="AT270" s="44">
        <v>714900.52</v>
      </c>
      <c r="AU270" s="44">
        <v>356739.54642013222</v>
      </c>
      <c r="AV270" s="44">
        <v>143649.50530000002</v>
      </c>
      <c r="AW270" s="44">
        <v>236893.11420312</v>
      </c>
      <c r="AX270" s="62">
        <v>1215289.5717201324</v>
      </c>
      <c r="AY270" s="62">
        <v>1209883.6064201323</v>
      </c>
      <c r="AZ270" s="62">
        <v>4610</v>
      </c>
      <c r="BA270" s="62">
        <v>922000</v>
      </c>
      <c r="BB270" s="62">
        <v>0</v>
      </c>
      <c r="BC270" s="62">
        <v>0</v>
      </c>
      <c r="BD270" s="62">
        <v>1215289.5717201324</v>
      </c>
      <c r="BE270" s="44">
        <v>1215289.5717201324</v>
      </c>
      <c r="BF270" s="44">
        <v>0</v>
      </c>
      <c r="BG270" s="62">
        <v>927405.96530000004</v>
      </c>
      <c r="BH270" s="62">
        <v>783756.46</v>
      </c>
      <c r="BI270" s="44">
        <v>1071640.0664201323</v>
      </c>
      <c r="BJ270" s="44">
        <v>5358.2003321006614</v>
      </c>
      <c r="BK270" s="44">
        <v>5092.6222026315791</v>
      </c>
      <c r="BL270" s="45">
        <v>5.2149584026053727E-2</v>
      </c>
      <c r="BM270" s="45">
        <v>0</v>
      </c>
      <c r="BN270" s="44">
        <v>0</v>
      </c>
      <c r="BO270" s="62">
        <v>1215289.5717201324</v>
      </c>
      <c r="BP270" s="62">
        <v>6049.4180321006615</v>
      </c>
      <c r="BQ270" s="62" t="s">
        <v>92</v>
      </c>
      <c r="BR270" s="62">
        <v>6076.4478586006617</v>
      </c>
      <c r="BS270" s="53">
        <v>4.1020514705654154E-2</v>
      </c>
      <c r="BT270" s="44">
        <v>0</v>
      </c>
      <c r="BU270" s="44">
        <v>1215289.5717201324</v>
      </c>
      <c r="BV270" s="44">
        <v>0</v>
      </c>
      <c r="BW270" s="44">
        <v>1215289.5717201324</v>
      </c>
      <c r="BX270" s="44">
        <v>5405.9652999999998</v>
      </c>
      <c r="BY270" s="44">
        <v>1209883.6064201323</v>
      </c>
    </row>
    <row r="271" spans="1:77">
      <c r="A271">
        <v>0</v>
      </c>
      <c r="B271" s="60">
        <v>140502</v>
      </c>
      <c r="C271" s="60">
        <v>3302453</v>
      </c>
      <c r="D271" s="61" t="s">
        <v>978</v>
      </c>
      <c r="E271" s="52">
        <v>408</v>
      </c>
      <c r="F271" s="52">
        <v>408</v>
      </c>
      <c r="G271" s="52">
        <v>0</v>
      </c>
      <c r="H271" s="44">
        <v>1458397.0607999999</v>
      </c>
      <c r="I271" s="44">
        <v>0</v>
      </c>
      <c r="J271" s="44">
        <v>0</v>
      </c>
      <c r="K271" s="44">
        <v>68349.066100000011</v>
      </c>
      <c r="L271" s="44">
        <v>0</v>
      </c>
      <c r="M271" s="44">
        <v>116848.70439999984</v>
      </c>
      <c r="N271" s="44">
        <v>0</v>
      </c>
      <c r="O271" s="44">
        <v>947.94599408866964</v>
      </c>
      <c r="P271" s="44">
        <v>5460.7742009852154</v>
      </c>
      <c r="Q271" s="44">
        <v>13462.851369458136</v>
      </c>
      <c r="R271" s="44">
        <v>142817.15569655181</v>
      </c>
      <c r="S271" s="44">
        <v>22332.198360591112</v>
      </c>
      <c r="T271" s="44">
        <v>4114.4898679802927</v>
      </c>
      <c r="U271" s="44">
        <v>0</v>
      </c>
      <c r="V271" s="44">
        <v>0</v>
      </c>
      <c r="W271" s="44">
        <v>0</v>
      </c>
      <c r="X271" s="44">
        <v>0</v>
      </c>
      <c r="Y271" s="44">
        <v>0</v>
      </c>
      <c r="Z271" s="44">
        <v>0</v>
      </c>
      <c r="AA271" s="44">
        <v>125559.17120000001</v>
      </c>
      <c r="AB271" s="44">
        <v>0</v>
      </c>
      <c r="AC271" s="44">
        <v>177788.35738229228</v>
      </c>
      <c r="AD271" s="44">
        <v>0</v>
      </c>
      <c r="AE271" s="44">
        <v>0</v>
      </c>
      <c r="AF271" s="44">
        <v>0</v>
      </c>
      <c r="AG271" s="44">
        <v>138243.54</v>
      </c>
      <c r="AH271" s="44">
        <v>0</v>
      </c>
      <c r="AI271" s="44">
        <v>0</v>
      </c>
      <c r="AJ271" s="44">
        <v>0</v>
      </c>
      <c r="AK271" s="44">
        <v>11871.924199999999</v>
      </c>
      <c r="AL271" s="44">
        <v>0</v>
      </c>
      <c r="AM271" s="44">
        <v>0</v>
      </c>
      <c r="AN271" s="44">
        <v>0</v>
      </c>
      <c r="AO271" s="44">
        <v>0</v>
      </c>
      <c r="AP271" s="44">
        <v>0</v>
      </c>
      <c r="AQ271" s="44">
        <v>0</v>
      </c>
      <c r="AR271" s="44">
        <v>0</v>
      </c>
      <c r="AS271" s="44">
        <v>0</v>
      </c>
      <c r="AT271" s="44">
        <v>1458397.0607999999</v>
      </c>
      <c r="AU271" s="44">
        <v>677680.71457194735</v>
      </c>
      <c r="AV271" s="44">
        <v>150115.46420000002</v>
      </c>
      <c r="AW271" s="44">
        <v>437874.80341711984</v>
      </c>
      <c r="AX271" s="62">
        <v>2286193.2395719471</v>
      </c>
      <c r="AY271" s="62">
        <v>2274321.3153719474</v>
      </c>
      <c r="AZ271" s="62">
        <v>4610</v>
      </c>
      <c r="BA271" s="62">
        <v>1880880</v>
      </c>
      <c r="BB271" s="62">
        <v>0</v>
      </c>
      <c r="BC271" s="62">
        <v>0</v>
      </c>
      <c r="BD271" s="62">
        <v>2286193.2395719471</v>
      </c>
      <c r="BE271" s="44">
        <v>2286193.2395719471</v>
      </c>
      <c r="BF271" s="44">
        <v>0</v>
      </c>
      <c r="BG271" s="62">
        <v>1892751.9242</v>
      </c>
      <c r="BH271" s="62">
        <v>1742636.46</v>
      </c>
      <c r="BI271" s="44">
        <v>2136077.7753719473</v>
      </c>
      <c r="BJ271" s="44">
        <v>5235.4847435586944</v>
      </c>
      <c r="BK271" s="44">
        <v>5201.874399268293</v>
      </c>
      <c r="BL271" s="45">
        <v>6.4611987354268059E-3</v>
      </c>
      <c r="BM271" s="45">
        <v>0</v>
      </c>
      <c r="BN271" s="44">
        <v>0</v>
      </c>
      <c r="BO271" s="62">
        <v>2286193.2395719471</v>
      </c>
      <c r="BP271" s="62">
        <v>5574.3169494410477</v>
      </c>
      <c r="BQ271" s="62" t="s">
        <v>92</v>
      </c>
      <c r="BR271" s="62">
        <v>5603.4148028724194</v>
      </c>
      <c r="BS271" s="53">
        <v>9.2869489142313189E-3</v>
      </c>
      <c r="BT271" s="44">
        <v>0</v>
      </c>
      <c r="BU271" s="44">
        <v>2286193.2395719471</v>
      </c>
      <c r="BV271" s="44">
        <v>0</v>
      </c>
      <c r="BW271" s="44">
        <v>2286193.2395719471</v>
      </c>
      <c r="BX271" s="44">
        <v>11871.924199999999</v>
      </c>
      <c r="BY271" s="44">
        <v>2274321.3153719474</v>
      </c>
    </row>
    <row r="272" spans="1:77">
      <c r="A272">
        <v>0</v>
      </c>
      <c r="B272" s="60">
        <v>140890</v>
      </c>
      <c r="C272" s="60">
        <v>3302455</v>
      </c>
      <c r="D272" s="61" t="s">
        <v>979</v>
      </c>
      <c r="E272" s="52">
        <v>403</v>
      </c>
      <c r="F272" s="52">
        <v>403</v>
      </c>
      <c r="G272" s="52">
        <v>0</v>
      </c>
      <c r="H272" s="44">
        <v>1440524.5477999998</v>
      </c>
      <c r="I272" s="44">
        <v>0</v>
      </c>
      <c r="J272" s="44">
        <v>0</v>
      </c>
      <c r="K272" s="44">
        <v>89984.741699999955</v>
      </c>
      <c r="L272" s="44">
        <v>0</v>
      </c>
      <c r="M272" s="44">
        <v>151409.5888</v>
      </c>
      <c r="N272" s="44">
        <v>0</v>
      </c>
      <c r="O272" s="44">
        <v>4009.0215999999987</v>
      </c>
      <c r="P272" s="44">
        <v>29172.030600000031</v>
      </c>
      <c r="Q272" s="44">
        <v>4019.0570999999918</v>
      </c>
      <c r="R272" s="44">
        <v>27255.328799999956</v>
      </c>
      <c r="S272" s="44">
        <v>58916.066399999996</v>
      </c>
      <c r="T272" s="44">
        <v>9553.4151999999995</v>
      </c>
      <c r="U272" s="44">
        <v>0</v>
      </c>
      <c r="V272" s="44">
        <v>0</v>
      </c>
      <c r="W272" s="44">
        <v>0</v>
      </c>
      <c r="X272" s="44">
        <v>0</v>
      </c>
      <c r="Y272" s="44">
        <v>0</v>
      </c>
      <c r="Z272" s="44">
        <v>0</v>
      </c>
      <c r="AA272" s="44">
        <v>31032.386622832353</v>
      </c>
      <c r="AB272" s="44">
        <v>0</v>
      </c>
      <c r="AC272" s="44">
        <v>143136.4360421556</v>
      </c>
      <c r="AD272" s="44">
        <v>0</v>
      </c>
      <c r="AE272" s="44">
        <v>9460.2894719999858</v>
      </c>
      <c r="AF272" s="44">
        <v>0</v>
      </c>
      <c r="AG272" s="44">
        <v>138243.54</v>
      </c>
      <c r="AH272" s="44">
        <v>0</v>
      </c>
      <c r="AI272" s="44">
        <v>0</v>
      </c>
      <c r="AJ272" s="44">
        <v>0</v>
      </c>
      <c r="AK272" s="44">
        <v>9009.9455999999991</v>
      </c>
      <c r="AL272" s="44">
        <v>0</v>
      </c>
      <c r="AM272" s="44">
        <v>0</v>
      </c>
      <c r="AN272" s="44">
        <v>0</v>
      </c>
      <c r="AO272" s="44">
        <v>0</v>
      </c>
      <c r="AP272" s="44">
        <v>0</v>
      </c>
      <c r="AQ272" s="44">
        <v>0</v>
      </c>
      <c r="AR272" s="44">
        <v>0</v>
      </c>
      <c r="AS272" s="44">
        <v>0</v>
      </c>
      <c r="AT272" s="44">
        <v>1440524.5477999998</v>
      </c>
      <c r="AU272" s="44">
        <v>557948.36233698786</v>
      </c>
      <c r="AV272" s="44">
        <v>147253.48560000001</v>
      </c>
      <c r="AW272" s="44">
        <v>402322.28853215557</v>
      </c>
      <c r="AX272" s="62">
        <v>2145726.3957369877</v>
      </c>
      <c r="AY272" s="62">
        <v>2136716.4501369875</v>
      </c>
      <c r="AZ272" s="62">
        <v>4610</v>
      </c>
      <c r="BA272" s="62">
        <v>1857830</v>
      </c>
      <c r="BB272" s="62">
        <v>0</v>
      </c>
      <c r="BC272" s="62">
        <v>0</v>
      </c>
      <c r="BD272" s="62">
        <v>2145726.3957369877</v>
      </c>
      <c r="BE272" s="44">
        <v>2145726.3957369877</v>
      </c>
      <c r="BF272" s="44">
        <v>0</v>
      </c>
      <c r="BG272" s="62">
        <v>1866839.9456</v>
      </c>
      <c r="BH272" s="62">
        <v>1719586.46</v>
      </c>
      <c r="BI272" s="44">
        <v>1998472.9101369877</v>
      </c>
      <c r="BJ272" s="44">
        <v>4958.9898514565448</v>
      </c>
      <c r="BK272" s="44">
        <v>4971.6128173027992</v>
      </c>
      <c r="BL272" s="45">
        <v>-2.5390082273346838E-3</v>
      </c>
      <c r="BM272" s="45">
        <v>7.5390082273346839E-3</v>
      </c>
      <c r="BN272" s="44">
        <v>15104.855062905654</v>
      </c>
      <c r="BO272" s="62">
        <v>2160831.2507998934</v>
      </c>
      <c r="BP272" s="62">
        <v>5339.5069607937794</v>
      </c>
      <c r="BQ272" s="62" t="s">
        <v>92</v>
      </c>
      <c r="BR272" s="62">
        <v>5361.8641459054425</v>
      </c>
      <c r="BS272" s="53">
        <v>1.7109094001399594E-3</v>
      </c>
      <c r="BT272" s="44">
        <v>0</v>
      </c>
      <c r="BU272" s="44">
        <v>2160831.2507998934</v>
      </c>
      <c r="BV272" s="44">
        <v>0</v>
      </c>
      <c r="BW272" s="44">
        <v>2160831.2507998934</v>
      </c>
      <c r="BX272" s="44">
        <v>9009.9455999999991</v>
      </c>
      <c r="BY272" s="44">
        <v>2151821.3051998932</v>
      </c>
    </row>
    <row r="273" spans="1:77">
      <c r="A273">
        <v>0</v>
      </c>
      <c r="B273" s="60">
        <v>139162</v>
      </c>
      <c r="C273" s="60">
        <v>3302458</v>
      </c>
      <c r="D273" s="61" t="s">
        <v>980</v>
      </c>
      <c r="E273" s="52">
        <v>606</v>
      </c>
      <c r="F273" s="52">
        <v>606</v>
      </c>
      <c r="G273" s="52">
        <v>0</v>
      </c>
      <c r="H273" s="44">
        <v>2166148.5756000001</v>
      </c>
      <c r="I273" s="44">
        <v>0</v>
      </c>
      <c r="J273" s="44">
        <v>0</v>
      </c>
      <c r="K273" s="44">
        <v>143582.21080000006</v>
      </c>
      <c r="L273" s="44">
        <v>0</v>
      </c>
      <c r="M273" s="44">
        <v>244394.82539999994</v>
      </c>
      <c r="N273" s="44">
        <v>0</v>
      </c>
      <c r="O273" s="44">
        <v>2125.9313375206557</v>
      </c>
      <c r="P273" s="44">
        <v>59872.862803636286</v>
      </c>
      <c r="Q273" s="44">
        <v>98853.304164297486</v>
      </c>
      <c r="R273" s="44">
        <v>51188.210494214734</v>
      </c>
      <c r="S273" s="44">
        <v>26400.753199338837</v>
      </c>
      <c r="T273" s="44">
        <v>2734.0588482644607</v>
      </c>
      <c r="U273" s="44">
        <v>0</v>
      </c>
      <c r="V273" s="44">
        <v>0</v>
      </c>
      <c r="W273" s="44">
        <v>0</v>
      </c>
      <c r="X273" s="44">
        <v>0</v>
      </c>
      <c r="Y273" s="44">
        <v>0</v>
      </c>
      <c r="Z273" s="44">
        <v>0</v>
      </c>
      <c r="AA273" s="44">
        <v>158568.5614876404</v>
      </c>
      <c r="AB273" s="44">
        <v>0</v>
      </c>
      <c r="AC273" s="44">
        <v>203269.55884588929</v>
      </c>
      <c r="AD273" s="44">
        <v>0</v>
      </c>
      <c r="AE273" s="44">
        <v>6465.2450411901109</v>
      </c>
      <c r="AF273" s="44">
        <v>0</v>
      </c>
      <c r="AG273" s="44">
        <v>138243.54</v>
      </c>
      <c r="AH273" s="44">
        <v>0</v>
      </c>
      <c r="AI273" s="44">
        <v>0</v>
      </c>
      <c r="AJ273" s="44">
        <v>0</v>
      </c>
      <c r="AK273" s="44">
        <v>6041.9593999999997</v>
      </c>
      <c r="AL273" s="44">
        <v>0</v>
      </c>
      <c r="AM273" s="44">
        <v>0</v>
      </c>
      <c r="AN273" s="44">
        <v>0</v>
      </c>
      <c r="AO273" s="44">
        <v>0</v>
      </c>
      <c r="AP273" s="44">
        <v>0</v>
      </c>
      <c r="AQ273" s="44">
        <v>0</v>
      </c>
      <c r="AR273" s="44">
        <v>0</v>
      </c>
      <c r="AS273" s="44">
        <v>0</v>
      </c>
      <c r="AT273" s="44">
        <v>2166148.5756000001</v>
      </c>
      <c r="AU273" s="44">
        <v>997455.52242199227</v>
      </c>
      <c r="AV273" s="44">
        <v>144285.4994</v>
      </c>
      <c r="AW273" s="44">
        <v>626153.06614952558</v>
      </c>
      <c r="AX273" s="62">
        <v>3307889.5974219926</v>
      </c>
      <c r="AY273" s="62">
        <v>3301847.6380219925</v>
      </c>
      <c r="AZ273" s="62">
        <v>4610</v>
      </c>
      <c r="BA273" s="62">
        <v>2793660</v>
      </c>
      <c r="BB273" s="62">
        <v>0</v>
      </c>
      <c r="BC273" s="62">
        <v>0</v>
      </c>
      <c r="BD273" s="62">
        <v>3307889.5974219926</v>
      </c>
      <c r="BE273" s="44">
        <v>3307889.5974219921</v>
      </c>
      <c r="BF273" s="44">
        <v>0</v>
      </c>
      <c r="BG273" s="62">
        <v>2799701.9594000001</v>
      </c>
      <c r="BH273" s="62">
        <v>2655416.46</v>
      </c>
      <c r="BI273" s="44">
        <v>3163604.0980219925</v>
      </c>
      <c r="BJ273" s="44">
        <v>5220.4688086171491</v>
      </c>
      <c r="BK273" s="44">
        <v>5147.5945304625202</v>
      </c>
      <c r="BL273" s="45">
        <v>1.4156957725277752E-2</v>
      </c>
      <c r="BM273" s="45">
        <v>0</v>
      </c>
      <c r="BN273" s="44">
        <v>0</v>
      </c>
      <c r="BO273" s="62">
        <v>3307889.5974219926</v>
      </c>
      <c r="BP273" s="62">
        <v>5448.5934620824955</v>
      </c>
      <c r="BQ273" s="62" t="s">
        <v>92</v>
      </c>
      <c r="BR273" s="62">
        <v>5458.5636921154992</v>
      </c>
      <c r="BS273" s="53">
        <v>1.4220221513709719E-2</v>
      </c>
      <c r="BT273" s="44">
        <v>0</v>
      </c>
      <c r="BU273" s="44">
        <v>3307889.5974219926</v>
      </c>
      <c r="BV273" s="44">
        <v>0</v>
      </c>
      <c r="BW273" s="44">
        <v>3307889.5974219926</v>
      </c>
      <c r="BX273" s="44">
        <v>6041.9593999999997</v>
      </c>
      <c r="BY273" s="44">
        <v>3301847.6380219925</v>
      </c>
    </row>
    <row r="274" spans="1:77">
      <c r="A274">
        <v>0</v>
      </c>
      <c r="B274" s="60">
        <v>140262</v>
      </c>
      <c r="C274" s="60">
        <v>3302460</v>
      </c>
      <c r="D274" s="61" t="s">
        <v>981</v>
      </c>
      <c r="E274" s="52">
        <v>547</v>
      </c>
      <c r="F274" s="52">
        <v>547</v>
      </c>
      <c r="G274" s="52">
        <v>0</v>
      </c>
      <c r="H274" s="44">
        <v>1955252.9221999999</v>
      </c>
      <c r="I274" s="44">
        <v>0</v>
      </c>
      <c r="J274" s="44">
        <v>0</v>
      </c>
      <c r="K274" s="44">
        <v>97360.540199999887</v>
      </c>
      <c r="L274" s="44">
        <v>0</v>
      </c>
      <c r="M274" s="44">
        <v>162929.8835999998</v>
      </c>
      <c r="N274" s="44">
        <v>0</v>
      </c>
      <c r="O274" s="44">
        <v>5659.795199999995</v>
      </c>
      <c r="P274" s="44">
        <v>8866.0092999999997</v>
      </c>
      <c r="Q274" s="44">
        <v>9377.7999000000036</v>
      </c>
      <c r="R274" s="44">
        <v>74952.154200000121</v>
      </c>
      <c r="S274" s="44">
        <v>17571.458400000014</v>
      </c>
      <c r="T274" s="44">
        <v>1364.7735999999989</v>
      </c>
      <c r="U274" s="44">
        <v>0</v>
      </c>
      <c r="V274" s="44">
        <v>0</v>
      </c>
      <c r="W274" s="44">
        <v>0</v>
      </c>
      <c r="X274" s="44">
        <v>0</v>
      </c>
      <c r="Y274" s="44">
        <v>0</v>
      </c>
      <c r="Z274" s="44">
        <v>0</v>
      </c>
      <c r="AA274" s="44">
        <v>47216.134585831504</v>
      </c>
      <c r="AB274" s="44">
        <v>0</v>
      </c>
      <c r="AC274" s="44">
        <v>233093.73477749786</v>
      </c>
      <c r="AD274" s="44">
        <v>0</v>
      </c>
      <c r="AE274" s="44">
        <v>10770.472128000018</v>
      </c>
      <c r="AF274" s="44">
        <v>0</v>
      </c>
      <c r="AG274" s="44">
        <v>138243.54</v>
      </c>
      <c r="AH274" s="44">
        <v>0</v>
      </c>
      <c r="AI274" s="44">
        <v>0</v>
      </c>
      <c r="AJ274" s="44">
        <v>0</v>
      </c>
      <c r="AK274" s="44">
        <v>3815.9749000000002</v>
      </c>
      <c r="AL274" s="44">
        <v>0</v>
      </c>
      <c r="AM274" s="44">
        <v>0</v>
      </c>
      <c r="AN274" s="44">
        <v>0</v>
      </c>
      <c r="AO274" s="44">
        <v>0</v>
      </c>
      <c r="AP274" s="44">
        <v>0</v>
      </c>
      <c r="AQ274" s="44">
        <v>0</v>
      </c>
      <c r="AR274" s="44">
        <v>0</v>
      </c>
      <c r="AS274" s="44">
        <v>0</v>
      </c>
      <c r="AT274" s="44">
        <v>1955252.9221999999</v>
      </c>
      <c r="AU274" s="44">
        <v>669162.75589132914</v>
      </c>
      <c r="AV274" s="44">
        <v>142059.51490000001</v>
      </c>
      <c r="AW274" s="44">
        <v>519897.58808749774</v>
      </c>
      <c r="AX274" s="62">
        <v>2766475.1929913289</v>
      </c>
      <c r="AY274" s="62">
        <v>2762659.2180913291</v>
      </c>
      <c r="AZ274" s="62">
        <v>4610</v>
      </c>
      <c r="BA274" s="62">
        <v>2521670</v>
      </c>
      <c r="BB274" s="62">
        <v>0</v>
      </c>
      <c r="BC274" s="62">
        <v>0</v>
      </c>
      <c r="BD274" s="62">
        <v>2766475.1929913289</v>
      </c>
      <c r="BE274" s="44">
        <v>2766475.1929913289</v>
      </c>
      <c r="BF274" s="44">
        <v>0</v>
      </c>
      <c r="BG274" s="62">
        <v>2525485.9748999998</v>
      </c>
      <c r="BH274" s="62">
        <v>2383426.46</v>
      </c>
      <c r="BI274" s="44">
        <v>2624415.6780913291</v>
      </c>
      <c r="BJ274" s="44">
        <v>4797.8348776806743</v>
      </c>
      <c r="BK274" s="44">
        <v>4583.2613336283184</v>
      </c>
      <c r="BL274" s="45">
        <v>4.6816781421121723E-2</v>
      </c>
      <c r="BM274" s="45">
        <v>0</v>
      </c>
      <c r="BN274" s="44">
        <v>0</v>
      </c>
      <c r="BO274" s="62">
        <v>2766475.1929913289</v>
      </c>
      <c r="BP274" s="62">
        <v>5050.5652981559942</v>
      </c>
      <c r="BQ274" s="62" t="s">
        <v>92</v>
      </c>
      <c r="BR274" s="62">
        <v>5057.5414862729958</v>
      </c>
      <c r="BS274" s="53">
        <v>4.5308897541877613E-2</v>
      </c>
      <c r="BT274" s="44">
        <v>0</v>
      </c>
      <c r="BU274" s="44">
        <v>2766475.1929913289</v>
      </c>
      <c r="BV274" s="44">
        <v>0</v>
      </c>
      <c r="BW274" s="44">
        <v>2766475.1929913289</v>
      </c>
      <c r="BX274" s="44">
        <v>3815.9749000000002</v>
      </c>
      <c r="BY274" s="44">
        <v>2762659.2180913291</v>
      </c>
    </row>
    <row r="275" spans="1:77">
      <c r="A275">
        <v>0</v>
      </c>
      <c r="B275" s="60">
        <v>139452</v>
      </c>
      <c r="C275" s="60">
        <v>3302463</v>
      </c>
      <c r="D275" s="61" t="s">
        <v>982</v>
      </c>
      <c r="E275" s="52">
        <v>407</v>
      </c>
      <c r="F275" s="52">
        <v>407</v>
      </c>
      <c r="G275" s="52">
        <v>0</v>
      </c>
      <c r="H275" s="44">
        <v>1454822.5581999999</v>
      </c>
      <c r="I275" s="44">
        <v>0</v>
      </c>
      <c r="J275" s="44">
        <v>0</v>
      </c>
      <c r="K275" s="44">
        <v>24585.995000000032</v>
      </c>
      <c r="L275" s="44">
        <v>0</v>
      </c>
      <c r="M275" s="44">
        <v>43612.544599999921</v>
      </c>
      <c r="N275" s="44">
        <v>0</v>
      </c>
      <c r="O275" s="44">
        <v>16743.560799999956</v>
      </c>
      <c r="P275" s="44">
        <v>1716.0017999999948</v>
      </c>
      <c r="Q275" s="44">
        <v>446.56190000000049</v>
      </c>
      <c r="R275" s="44">
        <v>4380.3206999999975</v>
      </c>
      <c r="S275" s="44">
        <v>2067.2304000000004</v>
      </c>
      <c r="T275" s="44">
        <v>2729.5472000000004</v>
      </c>
      <c r="U275" s="44">
        <v>0</v>
      </c>
      <c r="V275" s="44">
        <v>0</v>
      </c>
      <c r="W275" s="44">
        <v>0</v>
      </c>
      <c r="X275" s="44">
        <v>0</v>
      </c>
      <c r="Y275" s="44">
        <v>0</v>
      </c>
      <c r="Z275" s="44">
        <v>0</v>
      </c>
      <c r="AA275" s="44">
        <v>17794.918619076936</v>
      </c>
      <c r="AB275" s="44">
        <v>0</v>
      </c>
      <c r="AC275" s="44">
        <v>88643.541264473635</v>
      </c>
      <c r="AD275" s="44">
        <v>0</v>
      </c>
      <c r="AE275" s="44">
        <v>1522.1239680000067</v>
      </c>
      <c r="AF275" s="44">
        <v>0</v>
      </c>
      <c r="AG275" s="44">
        <v>138243.54</v>
      </c>
      <c r="AH275" s="44">
        <v>0</v>
      </c>
      <c r="AI275" s="44">
        <v>0</v>
      </c>
      <c r="AJ275" s="44">
        <v>0</v>
      </c>
      <c r="AK275" s="44">
        <v>5458.9691000000003</v>
      </c>
      <c r="AL275" s="44">
        <v>0</v>
      </c>
      <c r="AM275" s="44">
        <v>0</v>
      </c>
      <c r="AN275" s="44">
        <v>0</v>
      </c>
      <c r="AO275" s="44">
        <v>0</v>
      </c>
      <c r="AP275" s="44">
        <v>0</v>
      </c>
      <c r="AQ275" s="44">
        <v>0</v>
      </c>
      <c r="AR275" s="44">
        <v>0</v>
      </c>
      <c r="AS275" s="44">
        <v>0</v>
      </c>
      <c r="AT275" s="44">
        <v>1454822.5581999999</v>
      </c>
      <c r="AU275" s="44">
        <v>204242.34625155048</v>
      </c>
      <c r="AV275" s="44">
        <v>143702.5091</v>
      </c>
      <c r="AW275" s="44">
        <v>209525.55037447356</v>
      </c>
      <c r="AX275" s="62">
        <v>1802767.4135515504</v>
      </c>
      <c r="AY275" s="62">
        <v>1797308.4444515503</v>
      </c>
      <c r="AZ275" s="62">
        <v>4610</v>
      </c>
      <c r="BA275" s="62">
        <v>1876270</v>
      </c>
      <c r="BB275" s="62">
        <v>78961.555548449745</v>
      </c>
      <c r="BC275" s="62">
        <v>0</v>
      </c>
      <c r="BD275" s="62">
        <v>1881728.9691000001</v>
      </c>
      <c r="BE275" s="44">
        <v>1881728.9691000001</v>
      </c>
      <c r="BF275" s="44">
        <v>0</v>
      </c>
      <c r="BG275" s="62">
        <v>1881728.9691000001</v>
      </c>
      <c r="BH275" s="62">
        <v>1738026.46</v>
      </c>
      <c r="BI275" s="44">
        <v>1738026.46</v>
      </c>
      <c r="BJ275" s="44">
        <v>4270.3352825552829</v>
      </c>
      <c r="BK275" s="44">
        <v>5719.891762378641</v>
      </c>
      <c r="BL275" s="45">
        <v>-0.2534237604560115</v>
      </c>
      <c r="BM275" s="45">
        <v>0.25842376045601151</v>
      </c>
      <c r="BN275" s="44">
        <v>601609.4670245474</v>
      </c>
      <c r="BO275" s="62">
        <v>2483338.4361245474</v>
      </c>
      <c r="BP275" s="62">
        <v>6088.1559386352519</v>
      </c>
      <c r="BQ275" s="62" t="s">
        <v>92</v>
      </c>
      <c r="BR275" s="62">
        <v>6101.5686391266518</v>
      </c>
      <c r="BS275" s="53">
        <v>6.1245687854489805E-3</v>
      </c>
      <c r="BT275" s="44">
        <v>0</v>
      </c>
      <c r="BU275" s="44">
        <v>2483338.4361245474</v>
      </c>
      <c r="BV275" s="44">
        <v>0</v>
      </c>
      <c r="BW275" s="44">
        <v>2483338.4361245474</v>
      </c>
      <c r="BX275" s="44">
        <v>5458.9691000000003</v>
      </c>
      <c r="BY275" s="44">
        <v>2477879.4670245475</v>
      </c>
    </row>
    <row r="276" spans="1:77">
      <c r="A276">
        <v>0</v>
      </c>
      <c r="B276" s="60">
        <v>143943</v>
      </c>
      <c r="C276" s="60">
        <v>3302471</v>
      </c>
      <c r="D276" s="61" t="s">
        <v>983</v>
      </c>
      <c r="E276" s="52">
        <v>423</v>
      </c>
      <c r="F276" s="52">
        <v>423</v>
      </c>
      <c r="G276" s="52">
        <v>0</v>
      </c>
      <c r="H276" s="44">
        <v>1512014.5998</v>
      </c>
      <c r="I276" s="44">
        <v>0</v>
      </c>
      <c r="J276" s="44">
        <v>0</v>
      </c>
      <c r="K276" s="44">
        <v>85067.542700000005</v>
      </c>
      <c r="L276" s="44">
        <v>0</v>
      </c>
      <c r="M276" s="44">
        <v>142357.92859999998</v>
      </c>
      <c r="N276" s="44">
        <v>0</v>
      </c>
      <c r="O276" s="44">
        <v>4952.3208000000022</v>
      </c>
      <c r="P276" s="44">
        <v>7150.0074999999997</v>
      </c>
      <c r="Q276" s="44">
        <v>41976.818599999955</v>
      </c>
      <c r="R276" s="44">
        <v>46236.718500000068</v>
      </c>
      <c r="S276" s="44">
        <v>89924.5223999999</v>
      </c>
      <c r="T276" s="44">
        <v>2047.1603999999991</v>
      </c>
      <c r="U276" s="44">
        <v>0</v>
      </c>
      <c r="V276" s="44">
        <v>0</v>
      </c>
      <c r="W276" s="44">
        <v>0</v>
      </c>
      <c r="X276" s="44">
        <v>0</v>
      </c>
      <c r="Y276" s="44">
        <v>0</v>
      </c>
      <c r="Z276" s="44">
        <v>0</v>
      </c>
      <c r="AA276" s="44">
        <v>102110.21108429765</v>
      </c>
      <c r="AB276" s="44">
        <v>0</v>
      </c>
      <c r="AC276" s="44">
        <v>176020.13402478673</v>
      </c>
      <c r="AD276" s="44">
        <v>0</v>
      </c>
      <c r="AE276" s="44">
        <v>0</v>
      </c>
      <c r="AF276" s="44">
        <v>0</v>
      </c>
      <c r="AG276" s="44">
        <v>138243.54</v>
      </c>
      <c r="AH276" s="44">
        <v>0</v>
      </c>
      <c r="AI276" s="44">
        <v>0</v>
      </c>
      <c r="AJ276" s="44">
        <v>0</v>
      </c>
      <c r="AK276" s="44">
        <v>5670.9637000000002</v>
      </c>
      <c r="AL276" s="44">
        <v>0</v>
      </c>
      <c r="AM276" s="44">
        <v>0</v>
      </c>
      <c r="AN276" s="44">
        <v>0</v>
      </c>
      <c r="AO276" s="44">
        <v>0</v>
      </c>
      <c r="AP276" s="44">
        <v>0</v>
      </c>
      <c r="AQ276" s="44">
        <v>0</v>
      </c>
      <c r="AR276" s="44">
        <v>0</v>
      </c>
      <c r="AS276" s="44">
        <v>0</v>
      </c>
      <c r="AT276" s="44">
        <v>1512014.5998</v>
      </c>
      <c r="AU276" s="44">
        <v>697843.36460908432</v>
      </c>
      <c r="AV276" s="44">
        <v>143914.5037</v>
      </c>
      <c r="AW276" s="44">
        <v>461477.37376478675</v>
      </c>
      <c r="AX276" s="62">
        <v>2353772.4681090843</v>
      </c>
      <c r="AY276" s="62">
        <v>2348101.5044090841</v>
      </c>
      <c r="AZ276" s="62">
        <v>4610</v>
      </c>
      <c r="BA276" s="62">
        <v>1950030</v>
      </c>
      <c r="BB276" s="62">
        <v>0</v>
      </c>
      <c r="BC276" s="62">
        <v>0</v>
      </c>
      <c r="BD276" s="62">
        <v>2353772.4681090843</v>
      </c>
      <c r="BE276" s="44">
        <v>2353772.4681090843</v>
      </c>
      <c r="BF276" s="44">
        <v>0</v>
      </c>
      <c r="BG276" s="62">
        <v>1955700.9637</v>
      </c>
      <c r="BH276" s="62">
        <v>1811786.46</v>
      </c>
      <c r="BI276" s="44">
        <v>2209857.9644090841</v>
      </c>
      <c r="BJ276" s="44">
        <v>5224.2505068772671</v>
      </c>
      <c r="BK276" s="44">
        <v>5098.3348665094336</v>
      </c>
      <c r="BL276" s="45">
        <v>2.4697404871336238E-2</v>
      </c>
      <c r="BM276" s="45">
        <v>0</v>
      </c>
      <c r="BN276" s="44">
        <v>0</v>
      </c>
      <c r="BO276" s="62">
        <v>2353772.4681090843</v>
      </c>
      <c r="BP276" s="62">
        <v>5551.0673863098918</v>
      </c>
      <c r="BQ276" s="62" t="s">
        <v>92</v>
      </c>
      <c r="BR276" s="62">
        <v>5564.4739198796315</v>
      </c>
      <c r="BS276" s="53">
        <v>2.3468058620360388E-2</v>
      </c>
      <c r="BT276" s="44">
        <v>0</v>
      </c>
      <c r="BU276" s="44">
        <v>2353772.4681090843</v>
      </c>
      <c r="BV276" s="44">
        <v>0</v>
      </c>
      <c r="BW276" s="44">
        <v>2353772.4681090843</v>
      </c>
      <c r="BX276" s="44">
        <v>5670.9637000000002</v>
      </c>
      <c r="BY276" s="44">
        <v>2348101.5044090841</v>
      </c>
    </row>
    <row r="277" spans="1:77">
      <c r="A277">
        <v>0</v>
      </c>
      <c r="B277" s="60">
        <v>143089</v>
      </c>
      <c r="C277" s="60">
        <v>3302475</v>
      </c>
      <c r="D277" s="61" t="s">
        <v>984</v>
      </c>
      <c r="E277" s="52">
        <v>334</v>
      </c>
      <c r="F277" s="52">
        <v>334</v>
      </c>
      <c r="G277" s="52">
        <v>0</v>
      </c>
      <c r="H277" s="44">
        <v>1193883.8684</v>
      </c>
      <c r="I277" s="44">
        <v>0</v>
      </c>
      <c r="J277" s="44">
        <v>0</v>
      </c>
      <c r="K277" s="44">
        <v>82608.943200000009</v>
      </c>
      <c r="L277" s="44">
        <v>0</v>
      </c>
      <c r="M277" s="44">
        <v>152232.46699999992</v>
      </c>
      <c r="N277" s="44">
        <v>0</v>
      </c>
      <c r="O277" s="44">
        <v>4021.0607039039082</v>
      </c>
      <c r="P277" s="44">
        <v>5163.4648756756797</v>
      </c>
      <c r="Q277" s="44">
        <v>2239.5146336336311</v>
      </c>
      <c r="R277" s="44">
        <v>49304.550715315265</v>
      </c>
      <c r="S277" s="44">
        <v>29546.495762162132</v>
      </c>
      <c r="T277" s="44">
        <v>68443.600960960903</v>
      </c>
      <c r="U277" s="44">
        <v>0</v>
      </c>
      <c r="V277" s="44">
        <v>0</v>
      </c>
      <c r="W277" s="44">
        <v>0</v>
      </c>
      <c r="X277" s="44">
        <v>0</v>
      </c>
      <c r="Y277" s="44">
        <v>0</v>
      </c>
      <c r="Z277" s="44">
        <v>0</v>
      </c>
      <c r="AA277" s="44">
        <v>73988.724034013692</v>
      </c>
      <c r="AB277" s="44">
        <v>0</v>
      </c>
      <c r="AC277" s="44">
        <v>115288.41358723411</v>
      </c>
      <c r="AD277" s="44">
        <v>0</v>
      </c>
      <c r="AE277" s="44">
        <v>22368.513562988068</v>
      </c>
      <c r="AF277" s="44">
        <v>0</v>
      </c>
      <c r="AG277" s="44">
        <v>138243.54</v>
      </c>
      <c r="AH277" s="44">
        <v>0</v>
      </c>
      <c r="AI277" s="44">
        <v>0</v>
      </c>
      <c r="AJ277" s="44">
        <v>0</v>
      </c>
      <c r="AK277" s="44">
        <v>5988.9659000000001</v>
      </c>
      <c r="AL277" s="44">
        <v>0</v>
      </c>
      <c r="AM277" s="44">
        <v>0</v>
      </c>
      <c r="AN277" s="44">
        <v>0</v>
      </c>
      <c r="AO277" s="44">
        <v>0</v>
      </c>
      <c r="AP277" s="44">
        <v>0</v>
      </c>
      <c r="AQ277" s="44">
        <v>0</v>
      </c>
      <c r="AR277" s="44">
        <v>0</v>
      </c>
      <c r="AS277" s="44">
        <v>0</v>
      </c>
      <c r="AT277" s="44">
        <v>1193883.8684</v>
      </c>
      <c r="AU277" s="44">
        <v>605205.7490358873</v>
      </c>
      <c r="AV277" s="44">
        <v>144232.50590000002</v>
      </c>
      <c r="AW277" s="44">
        <v>371762.65593305987</v>
      </c>
      <c r="AX277" s="62">
        <v>1943322.1233358874</v>
      </c>
      <c r="AY277" s="62">
        <v>1937333.1574358875</v>
      </c>
      <c r="AZ277" s="62">
        <v>4610</v>
      </c>
      <c r="BA277" s="62">
        <v>1539740</v>
      </c>
      <c r="BB277" s="62">
        <v>0</v>
      </c>
      <c r="BC277" s="62">
        <v>0</v>
      </c>
      <c r="BD277" s="62">
        <v>1943322.1233358874</v>
      </c>
      <c r="BE277" s="44">
        <v>1943322.1233358874</v>
      </c>
      <c r="BF277" s="44">
        <v>0</v>
      </c>
      <c r="BG277" s="62">
        <v>1545728.9659</v>
      </c>
      <c r="BH277" s="62">
        <v>1401496.46</v>
      </c>
      <c r="BI277" s="44">
        <v>1799089.6174358875</v>
      </c>
      <c r="BJ277" s="44">
        <v>5386.4958605864895</v>
      </c>
      <c r="BK277" s="44">
        <v>5346.0379577844305</v>
      </c>
      <c r="BL277" s="45">
        <v>7.567829319869995E-3</v>
      </c>
      <c r="BM277" s="45">
        <v>0</v>
      </c>
      <c r="BN277" s="44">
        <v>0</v>
      </c>
      <c r="BO277" s="62">
        <v>1943322.1233358874</v>
      </c>
      <c r="BP277" s="62">
        <v>5800.3986749577471</v>
      </c>
      <c r="BQ277" s="62" t="s">
        <v>92</v>
      </c>
      <c r="BR277" s="62">
        <v>5818.3297105864895</v>
      </c>
      <c r="BS277" s="53">
        <v>7.2544066573392296E-3</v>
      </c>
      <c r="BT277" s="44">
        <v>0</v>
      </c>
      <c r="BU277" s="44">
        <v>1943322.1233358874</v>
      </c>
      <c r="BV277" s="44">
        <v>0</v>
      </c>
      <c r="BW277" s="44">
        <v>1943322.1233358874</v>
      </c>
      <c r="BX277" s="44">
        <v>5988.9659000000001</v>
      </c>
      <c r="BY277" s="44">
        <v>1937333.1574358875</v>
      </c>
    </row>
    <row r="278" spans="1:77">
      <c r="A278">
        <v>0</v>
      </c>
      <c r="B278" s="60">
        <v>142386</v>
      </c>
      <c r="C278" s="60">
        <v>3302480</v>
      </c>
      <c r="D278" s="61" t="s">
        <v>985</v>
      </c>
      <c r="E278" s="52">
        <v>330</v>
      </c>
      <c r="F278" s="52">
        <v>330</v>
      </c>
      <c r="G278" s="52">
        <v>0</v>
      </c>
      <c r="H278" s="44">
        <v>1179585.858</v>
      </c>
      <c r="I278" s="44">
        <v>0</v>
      </c>
      <c r="J278" s="44">
        <v>0</v>
      </c>
      <c r="K278" s="44">
        <v>110636.97750000002</v>
      </c>
      <c r="L278" s="44">
        <v>0</v>
      </c>
      <c r="M278" s="44">
        <v>192553.49879999997</v>
      </c>
      <c r="N278" s="44">
        <v>0</v>
      </c>
      <c r="O278" s="44">
        <v>2601.9575197568352</v>
      </c>
      <c r="P278" s="44">
        <v>5163.6528328267477</v>
      </c>
      <c r="Q278" s="44">
        <v>2239.5961550152047</v>
      </c>
      <c r="R278" s="44">
        <v>8787.2694893617008</v>
      </c>
      <c r="S278" s="44">
        <v>71536.225240121581</v>
      </c>
      <c r="T278" s="44">
        <v>64339.326857142922</v>
      </c>
      <c r="U278" s="44">
        <v>0</v>
      </c>
      <c r="V278" s="44">
        <v>0</v>
      </c>
      <c r="W278" s="44">
        <v>0</v>
      </c>
      <c r="X278" s="44">
        <v>0</v>
      </c>
      <c r="Y278" s="44">
        <v>0</v>
      </c>
      <c r="Z278" s="44">
        <v>0</v>
      </c>
      <c r="AA278" s="44">
        <v>32008.201556314074</v>
      </c>
      <c r="AB278" s="44">
        <v>0</v>
      </c>
      <c r="AC278" s="44">
        <v>166958.31559447668</v>
      </c>
      <c r="AD278" s="44">
        <v>0</v>
      </c>
      <c r="AE278" s="44">
        <v>30057.131520000148</v>
      </c>
      <c r="AF278" s="44">
        <v>0</v>
      </c>
      <c r="AG278" s="44">
        <v>138243.54</v>
      </c>
      <c r="AH278" s="44">
        <v>0</v>
      </c>
      <c r="AI278" s="44">
        <v>0</v>
      </c>
      <c r="AJ278" s="44">
        <v>0</v>
      </c>
      <c r="AK278" s="44">
        <v>6571.9561999999996</v>
      </c>
      <c r="AL278" s="44">
        <v>0</v>
      </c>
      <c r="AM278" s="44">
        <v>0</v>
      </c>
      <c r="AN278" s="44">
        <v>0</v>
      </c>
      <c r="AO278" s="44">
        <v>0</v>
      </c>
      <c r="AP278" s="44">
        <v>0</v>
      </c>
      <c r="AQ278" s="44">
        <v>0</v>
      </c>
      <c r="AR278" s="44">
        <v>0</v>
      </c>
      <c r="AS278" s="44">
        <v>0</v>
      </c>
      <c r="AT278" s="44">
        <v>1179585.858</v>
      </c>
      <c r="AU278" s="44">
        <v>686882.15306501591</v>
      </c>
      <c r="AV278" s="44">
        <v>144815.49619999999</v>
      </c>
      <c r="AW278" s="44">
        <v>454866.86069158919</v>
      </c>
      <c r="AX278" s="62">
        <v>2011283.507265016</v>
      </c>
      <c r="AY278" s="62">
        <v>2004711.5510650161</v>
      </c>
      <c r="AZ278" s="62">
        <v>4610</v>
      </c>
      <c r="BA278" s="62">
        <v>1521300</v>
      </c>
      <c r="BB278" s="62">
        <v>0</v>
      </c>
      <c r="BC278" s="62">
        <v>0</v>
      </c>
      <c r="BD278" s="62">
        <v>2011283.507265016</v>
      </c>
      <c r="BE278" s="44">
        <v>2011283.5072650157</v>
      </c>
      <c r="BF278" s="44">
        <v>0</v>
      </c>
      <c r="BG278" s="62">
        <v>1527871.9561999999</v>
      </c>
      <c r="BH278" s="62">
        <v>1383056.46</v>
      </c>
      <c r="BI278" s="44">
        <v>1866468.011065016</v>
      </c>
      <c r="BJ278" s="44">
        <v>5655.9636698939876</v>
      </c>
      <c r="BK278" s="44">
        <v>5573.80585610465</v>
      </c>
      <c r="BL278" s="45">
        <v>1.4739984834483438E-2</v>
      </c>
      <c r="BM278" s="45">
        <v>0</v>
      </c>
      <c r="BN278" s="44">
        <v>0</v>
      </c>
      <c r="BO278" s="62">
        <v>2011283.507265016</v>
      </c>
      <c r="BP278" s="62">
        <v>6074.8834880758059</v>
      </c>
      <c r="BQ278" s="62" t="s">
        <v>92</v>
      </c>
      <c r="BR278" s="62">
        <v>6094.7985068636845</v>
      </c>
      <c r="BS278" s="53">
        <v>1.7057628456231155E-2</v>
      </c>
      <c r="BT278" s="44">
        <v>0</v>
      </c>
      <c r="BU278" s="44">
        <v>2011283.507265016</v>
      </c>
      <c r="BV278" s="44">
        <v>0</v>
      </c>
      <c r="BW278" s="44">
        <v>2011283.507265016</v>
      </c>
      <c r="BX278" s="44">
        <v>6571.9561999999996</v>
      </c>
      <c r="BY278" s="44">
        <v>2004711.5510650161</v>
      </c>
    </row>
    <row r="279" spans="1:77">
      <c r="A279">
        <v>0</v>
      </c>
      <c r="B279" s="60">
        <v>137168</v>
      </c>
      <c r="C279" s="60">
        <v>3302481</v>
      </c>
      <c r="D279" s="61" t="s">
        <v>986</v>
      </c>
      <c r="E279" s="52">
        <v>428</v>
      </c>
      <c r="F279" s="52">
        <v>428</v>
      </c>
      <c r="G279" s="52">
        <v>0</v>
      </c>
      <c r="H279" s="44">
        <v>1529887.1128</v>
      </c>
      <c r="I279" s="44">
        <v>0</v>
      </c>
      <c r="J279" s="44">
        <v>0</v>
      </c>
      <c r="K279" s="44">
        <v>106703.21830000011</v>
      </c>
      <c r="L279" s="44">
        <v>0</v>
      </c>
      <c r="M279" s="44">
        <v>180210.32579999993</v>
      </c>
      <c r="N279" s="44">
        <v>0</v>
      </c>
      <c r="O279" s="44">
        <v>7310.5688000000027</v>
      </c>
      <c r="P279" s="44">
        <v>28886.030300000006</v>
      </c>
      <c r="Q279" s="44">
        <v>97797.056099999958</v>
      </c>
      <c r="R279" s="44">
        <v>12167.557499999994</v>
      </c>
      <c r="S279" s="44">
        <v>22222.726799999964</v>
      </c>
      <c r="T279" s="44">
        <v>682.38679999999965</v>
      </c>
      <c r="U279" s="44">
        <v>0</v>
      </c>
      <c r="V279" s="44">
        <v>0</v>
      </c>
      <c r="W279" s="44">
        <v>0</v>
      </c>
      <c r="X279" s="44">
        <v>0</v>
      </c>
      <c r="Y279" s="44">
        <v>0</v>
      </c>
      <c r="Z279" s="44">
        <v>0</v>
      </c>
      <c r="AA279" s="44">
        <v>76160.376972677695</v>
      </c>
      <c r="AB279" s="44">
        <v>0</v>
      </c>
      <c r="AC279" s="44">
        <v>220239.72703073669</v>
      </c>
      <c r="AD279" s="44">
        <v>0</v>
      </c>
      <c r="AE279" s="44">
        <v>0</v>
      </c>
      <c r="AF279" s="44">
        <v>0</v>
      </c>
      <c r="AG279" s="44">
        <v>138243.54</v>
      </c>
      <c r="AH279" s="44">
        <v>0</v>
      </c>
      <c r="AI279" s="44">
        <v>0</v>
      </c>
      <c r="AJ279" s="44">
        <v>0</v>
      </c>
      <c r="AK279" s="44">
        <v>2350.2539999999999</v>
      </c>
      <c r="AL279" s="44">
        <v>0</v>
      </c>
      <c r="AM279" s="44">
        <v>0</v>
      </c>
      <c r="AN279" s="44">
        <v>0</v>
      </c>
      <c r="AO279" s="44">
        <v>0</v>
      </c>
      <c r="AP279" s="44">
        <v>0</v>
      </c>
      <c r="AQ279" s="44">
        <v>0</v>
      </c>
      <c r="AR279" s="44">
        <v>0</v>
      </c>
      <c r="AS279" s="44">
        <v>0</v>
      </c>
      <c r="AT279" s="44">
        <v>1529887.1128</v>
      </c>
      <c r="AU279" s="44">
        <v>752379.97440341418</v>
      </c>
      <c r="AV279" s="44">
        <v>140593.79399999999</v>
      </c>
      <c r="AW279" s="44">
        <v>524724.01787073666</v>
      </c>
      <c r="AX279" s="62">
        <v>2422860.8812034139</v>
      </c>
      <c r="AY279" s="62">
        <v>2420510.6272034138</v>
      </c>
      <c r="AZ279" s="62">
        <v>4610</v>
      </c>
      <c r="BA279" s="62">
        <v>1973080</v>
      </c>
      <c r="BB279" s="62">
        <v>0</v>
      </c>
      <c r="BC279" s="62">
        <v>0</v>
      </c>
      <c r="BD279" s="62">
        <v>2422860.8812034139</v>
      </c>
      <c r="BE279" s="44">
        <v>2422860.8812034139</v>
      </c>
      <c r="BF279" s="44">
        <v>0</v>
      </c>
      <c r="BG279" s="62">
        <v>1975430.254</v>
      </c>
      <c r="BH279" s="62">
        <v>1834836.46</v>
      </c>
      <c r="BI279" s="44">
        <v>2282267.0872034137</v>
      </c>
      <c r="BJ279" s="44">
        <v>5332.3997364565739</v>
      </c>
      <c r="BK279" s="44">
        <v>5154.6596462829739</v>
      </c>
      <c r="BL279" s="45">
        <v>3.4481440554813052E-2</v>
      </c>
      <c r="BM279" s="45">
        <v>0</v>
      </c>
      <c r="BN279" s="44">
        <v>0</v>
      </c>
      <c r="BO279" s="62">
        <v>2422860.8812034139</v>
      </c>
      <c r="BP279" s="62">
        <v>5655.3986616902193</v>
      </c>
      <c r="BQ279" s="62" t="s">
        <v>92</v>
      </c>
      <c r="BR279" s="62">
        <v>5660.8899093537711</v>
      </c>
      <c r="BS279" s="53">
        <v>2.8975826115977821E-2</v>
      </c>
      <c r="BT279" s="44">
        <v>0</v>
      </c>
      <c r="BU279" s="44">
        <v>2422860.8812034139</v>
      </c>
      <c r="BV279" s="44">
        <v>0</v>
      </c>
      <c r="BW279" s="44">
        <v>2422860.8812034139</v>
      </c>
      <c r="BX279" s="44">
        <v>2350.2539999999999</v>
      </c>
      <c r="BY279" s="44">
        <v>2420510.6272034138</v>
      </c>
    </row>
    <row r="280" spans="1:77">
      <c r="A280">
        <v>0</v>
      </c>
      <c r="B280" s="60">
        <v>146722</v>
      </c>
      <c r="C280" s="60">
        <v>3302485</v>
      </c>
      <c r="D280" s="61" t="s">
        <v>987</v>
      </c>
      <c r="E280" s="52">
        <v>601</v>
      </c>
      <c r="F280" s="52">
        <v>601</v>
      </c>
      <c r="G280" s="52">
        <v>0</v>
      </c>
      <c r="H280" s="44">
        <v>2148276.0625999998</v>
      </c>
      <c r="I280" s="44">
        <v>0</v>
      </c>
      <c r="J280" s="44">
        <v>0</v>
      </c>
      <c r="K280" s="44">
        <v>165709.60630000007</v>
      </c>
      <c r="L280" s="44">
        <v>0</v>
      </c>
      <c r="M280" s="44">
        <v>280601.46620000002</v>
      </c>
      <c r="N280" s="44">
        <v>0</v>
      </c>
      <c r="O280" s="44">
        <v>23346.655199999936</v>
      </c>
      <c r="P280" s="44">
        <v>14872.015599999997</v>
      </c>
      <c r="Q280" s="44">
        <v>5805.3046999999988</v>
      </c>
      <c r="R280" s="44">
        <v>37962.779399999999</v>
      </c>
      <c r="S280" s="44">
        <v>22222.726799999989</v>
      </c>
      <c r="T280" s="44">
        <v>137159.74680000005</v>
      </c>
      <c r="U280" s="44">
        <v>0</v>
      </c>
      <c r="V280" s="44">
        <v>0</v>
      </c>
      <c r="W280" s="44">
        <v>0</v>
      </c>
      <c r="X280" s="44">
        <v>0</v>
      </c>
      <c r="Y280" s="44">
        <v>0</v>
      </c>
      <c r="Z280" s="44">
        <v>0</v>
      </c>
      <c r="AA280" s="44">
        <v>58646.815500185257</v>
      </c>
      <c r="AB280" s="44">
        <v>0</v>
      </c>
      <c r="AC280" s="44">
        <v>280555.62396286544</v>
      </c>
      <c r="AD280" s="44">
        <v>0</v>
      </c>
      <c r="AE280" s="44">
        <v>9649.7521600000218</v>
      </c>
      <c r="AF280" s="44">
        <v>0</v>
      </c>
      <c r="AG280" s="44">
        <v>138243.54</v>
      </c>
      <c r="AH280" s="44">
        <v>0</v>
      </c>
      <c r="AI280" s="44">
        <v>0</v>
      </c>
      <c r="AJ280" s="44">
        <v>0</v>
      </c>
      <c r="AK280" s="44">
        <v>2729.4794000000002</v>
      </c>
      <c r="AL280" s="44">
        <v>0</v>
      </c>
      <c r="AM280" s="44">
        <v>0</v>
      </c>
      <c r="AN280" s="44">
        <v>0</v>
      </c>
      <c r="AO280" s="44">
        <v>0</v>
      </c>
      <c r="AP280" s="44">
        <v>0</v>
      </c>
      <c r="AQ280" s="44">
        <v>0</v>
      </c>
      <c r="AR280" s="44">
        <v>0</v>
      </c>
      <c r="AS280" s="44">
        <v>0</v>
      </c>
      <c r="AT280" s="44">
        <v>2148276.0625999998</v>
      </c>
      <c r="AU280" s="44">
        <v>1036532.4926230508</v>
      </c>
      <c r="AV280" s="44">
        <v>140973.01940000002</v>
      </c>
      <c r="AW280" s="44">
        <v>731809.57759286545</v>
      </c>
      <c r="AX280" s="62">
        <v>3325781.5746230506</v>
      </c>
      <c r="AY280" s="62">
        <v>3323052.0952230506</v>
      </c>
      <c r="AZ280" s="62">
        <v>4610</v>
      </c>
      <c r="BA280" s="62">
        <v>2770610</v>
      </c>
      <c r="BB280" s="62">
        <v>0</v>
      </c>
      <c r="BC280" s="62">
        <v>0</v>
      </c>
      <c r="BD280" s="62">
        <v>3325781.5746230506</v>
      </c>
      <c r="BE280" s="44">
        <v>3325781.5746230511</v>
      </c>
      <c r="BF280" s="44">
        <v>0</v>
      </c>
      <c r="BG280" s="62">
        <v>2773339.4794000001</v>
      </c>
      <c r="BH280" s="62">
        <v>2632366.46</v>
      </c>
      <c r="BI280" s="44">
        <v>3184808.5552230505</v>
      </c>
      <c r="BJ280" s="44">
        <v>5299.1822882247097</v>
      </c>
      <c r="BK280" s="44">
        <v>5123.6826561797761</v>
      </c>
      <c r="BL280" s="45">
        <v>3.4252635032589303E-2</v>
      </c>
      <c r="BM280" s="45">
        <v>0</v>
      </c>
      <c r="BN280" s="44">
        <v>0</v>
      </c>
      <c r="BO280" s="62">
        <v>3325781.5746230506</v>
      </c>
      <c r="BP280" s="62">
        <v>5529.2048173428466</v>
      </c>
      <c r="BQ280" s="62" t="s">
        <v>92</v>
      </c>
      <c r="BR280" s="62">
        <v>5533.74638040441</v>
      </c>
      <c r="BS280" s="53">
        <v>3.4491106826572748E-2</v>
      </c>
      <c r="BT280" s="44">
        <v>0</v>
      </c>
      <c r="BU280" s="44">
        <v>3325781.5746230506</v>
      </c>
      <c r="BV280" s="44">
        <v>0</v>
      </c>
      <c r="BW280" s="44">
        <v>3325781.5746230506</v>
      </c>
      <c r="BX280" s="44">
        <v>2729.4794000000002</v>
      </c>
      <c r="BY280" s="44">
        <v>3323052.0952230506</v>
      </c>
    </row>
    <row r="281" spans="1:77">
      <c r="A281">
        <v>0</v>
      </c>
      <c r="B281" s="60">
        <v>143439</v>
      </c>
      <c r="C281" s="60">
        <v>3303004</v>
      </c>
      <c r="D281" s="61" t="s">
        <v>988</v>
      </c>
      <c r="E281" s="52">
        <v>210</v>
      </c>
      <c r="F281" s="52">
        <v>210</v>
      </c>
      <c r="G281" s="52">
        <v>0</v>
      </c>
      <c r="H281" s="44">
        <v>750645.54599999997</v>
      </c>
      <c r="I281" s="44">
        <v>0</v>
      </c>
      <c r="J281" s="44">
        <v>0</v>
      </c>
      <c r="K281" s="44">
        <v>15735.036799999962</v>
      </c>
      <c r="L281" s="44">
        <v>0</v>
      </c>
      <c r="M281" s="44">
        <v>27977.858800000016</v>
      </c>
      <c r="N281" s="44">
        <v>0</v>
      </c>
      <c r="O281" s="44">
        <v>471.64959999999979</v>
      </c>
      <c r="P281" s="44">
        <v>2574.0027000000023</v>
      </c>
      <c r="Q281" s="44">
        <v>3125.9332999999965</v>
      </c>
      <c r="R281" s="44">
        <v>3893.6183999999998</v>
      </c>
      <c r="S281" s="44">
        <v>5168.0759999999982</v>
      </c>
      <c r="T281" s="44">
        <v>7506.2548000000033</v>
      </c>
      <c r="U281" s="44">
        <v>0</v>
      </c>
      <c r="V281" s="44">
        <v>0</v>
      </c>
      <c r="W281" s="44">
        <v>0</v>
      </c>
      <c r="X281" s="44">
        <v>0</v>
      </c>
      <c r="Y281" s="44">
        <v>0</v>
      </c>
      <c r="Z281" s="44">
        <v>0</v>
      </c>
      <c r="AA281" s="44">
        <v>8243.1970607734856</v>
      </c>
      <c r="AB281" s="44">
        <v>0</v>
      </c>
      <c r="AC281" s="44">
        <v>71461.553423804857</v>
      </c>
      <c r="AD281" s="44">
        <v>0</v>
      </c>
      <c r="AE281" s="44">
        <v>0</v>
      </c>
      <c r="AF281" s="44">
        <v>0</v>
      </c>
      <c r="AG281" s="44">
        <v>138243.54</v>
      </c>
      <c r="AH281" s="44">
        <v>0</v>
      </c>
      <c r="AI281" s="44">
        <v>0</v>
      </c>
      <c r="AJ281" s="44">
        <v>0</v>
      </c>
      <c r="AK281" s="44">
        <v>6041.9593999999997</v>
      </c>
      <c r="AL281" s="44">
        <v>0</v>
      </c>
      <c r="AM281" s="44">
        <v>0</v>
      </c>
      <c r="AN281" s="44">
        <v>0</v>
      </c>
      <c r="AO281" s="44">
        <v>0</v>
      </c>
      <c r="AP281" s="44">
        <v>0</v>
      </c>
      <c r="AQ281" s="44">
        <v>0</v>
      </c>
      <c r="AR281" s="44">
        <v>0</v>
      </c>
      <c r="AS281" s="44">
        <v>0</v>
      </c>
      <c r="AT281" s="44">
        <v>750645.54599999997</v>
      </c>
      <c r="AU281" s="44">
        <v>146157.18088457832</v>
      </c>
      <c r="AV281" s="44">
        <v>144285.4994</v>
      </c>
      <c r="AW281" s="44">
        <v>142220.04592380484</v>
      </c>
      <c r="AX281" s="62">
        <v>1041088.2262845783</v>
      </c>
      <c r="AY281" s="62">
        <v>1035046.2668845783</v>
      </c>
      <c r="AZ281" s="62">
        <v>4610</v>
      </c>
      <c r="BA281" s="62">
        <v>968100</v>
      </c>
      <c r="BB281" s="62">
        <v>0</v>
      </c>
      <c r="BC281" s="62">
        <v>0</v>
      </c>
      <c r="BD281" s="62">
        <v>1041088.2262845783</v>
      </c>
      <c r="BE281" s="44">
        <v>1041088.2262845783</v>
      </c>
      <c r="BF281" s="44">
        <v>0</v>
      </c>
      <c r="BG281" s="62">
        <v>974141.95940000005</v>
      </c>
      <c r="BH281" s="62">
        <v>829856.46</v>
      </c>
      <c r="BI281" s="44">
        <v>896802.72688457824</v>
      </c>
      <c r="BJ281" s="44">
        <v>4270.4891756408488</v>
      </c>
      <c r="BK281" s="44">
        <v>4281.0904559241699</v>
      </c>
      <c r="BL281" s="45">
        <v>-2.4763037344027756E-3</v>
      </c>
      <c r="BM281" s="45">
        <v>7.4763037344027757E-3</v>
      </c>
      <c r="BN281" s="44">
        <v>6721.4138382178107</v>
      </c>
      <c r="BO281" s="62">
        <v>1047809.6401227962</v>
      </c>
      <c r="BP281" s="62">
        <v>4960.7984796323626</v>
      </c>
      <c r="BQ281" s="62" t="s">
        <v>92</v>
      </c>
      <c r="BR281" s="62">
        <v>4989.5697148704576</v>
      </c>
      <c r="BS281" s="53">
        <v>8.231731423478994E-3</v>
      </c>
      <c r="BT281" s="44">
        <v>0</v>
      </c>
      <c r="BU281" s="44">
        <v>1047809.6401227962</v>
      </c>
      <c r="BV281" s="44">
        <v>0</v>
      </c>
      <c r="BW281" s="44">
        <v>1047809.6401227962</v>
      </c>
      <c r="BX281" s="44">
        <v>6041.9593999999997</v>
      </c>
      <c r="BY281" s="44">
        <v>1041767.6807227961</v>
      </c>
    </row>
    <row r="282" spans="1:77">
      <c r="A282">
        <v>0</v>
      </c>
      <c r="B282" s="60">
        <v>139041</v>
      </c>
      <c r="C282" s="60">
        <v>3303015</v>
      </c>
      <c r="D282" s="61" t="s">
        <v>989</v>
      </c>
      <c r="E282" s="52">
        <v>372</v>
      </c>
      <c r="F282" s="52">
        <v>372</v>
      </c>
      <c r="G282" s="52">
        <v>0</v>
      </c>
      <c r="H282" s="44">
        <v>1329714.9671999998</v>
      </c>
      <c r="I282" s="44">
        <v>0</v>
      </c>
      <c r="J282" s="44">
        <v>0</v>
      </c>
      <c r="K282" s="44">
        <v>44254.791000000048</v>
      </c>
      <c r="L282" s="44">
        <v>0</v>
      </c>
      <c r="M282" s="44">
        <v>78996.307199999923</v>
      </c>
      <c r="N282" s="44">
        <v>0</v>
      </c>
      <c r="O282" s="44">
        <v>18630.159199999962</v>
      </c>
      <c r="P282" s="44">
        <v>9724.0101999999988</v>
      </c>
      <c r="Q282" s="44">
        <v>15629.666499999992</v>
      </c>
      <c r="R282" s="44">
        <v>60837.787499999984</v>
      </c>
      <c r="S282" s="44">
        <v>21189.111600000026</v>
      </c>
      <c r="T282" s="44">
        <v>6823.8679999999931</v>
      </c>
      <c r="U282" s="44">
        <v>0</v>
      </c>
      <c r="V282" s="44">
        <v>0</v>
      </c>
      <c r="W282" s="44">
        <v>0</v>
      </c>
      <c r="X282" s="44">
        <v>0</v>
      </c>
      <c r="Y282" s="44">
        <v>0</v>
      </c>
      <c r="Z282" s="44">
        <v>0</v>
      </c>
      <c r="AA282" s="44">
        <v>52536.78664954126</v>
      </c>
      <c r="AB282" s="44">
        <v>0</v>
      </c>
      <c r="AC282" s="44">
        <v>120309.05088461218</v>
      </c>
      <c r="AD282" s="44">
        <v>0</v>
      </c>
      <c r="AE282" s="44">
        <v>0</v>
      </c>
      <c r="AF282" s="44">
        <v>0</v>
      </c>
      <c r="AG282" s="44">
        <v>138243.54</v>
      </c>
      <c r="AH282" s="44">
        <v>0</v>
      </c>
      <c r="AI282" s="44">
        <v>0</v>
      </c>
      <c r="AJ282" s="44">
        <v>0</v>
      </c>
      <c r="AK282" s="44">
        <v>6624.96</v>
      </c>
      <c r="AL282" s="44">
        <v>0</v>
      </c>
      <c r="AM282" s="44">
        <v>0</v>
      </c>
      <c r="AN282" s="44">
        <v>0</v>
      </c>
      <c r="AO282" s="44">
        <v>0</v>
      </c>
      <c r="AP282" s="44">
        <v>0</v>
      </c>
      <c r="AQ282" s="44">
        <v>0</v>
      </c>
      <c r="AR282" s="44">
        <v>0</v>
      </c>
      <c r="AS282" s="44">
        <v>0</v>
      </c>
      <c r="AT282" s="44">
        <v>1329714.9671999998</v>
      </c>
      <c r="AU282" s="44">
        <v>428931.53873415338</v>
      </c>
      <c r="AV282" s="44">
        <v>144868.5</v>
      </c>
      <c r="AW282" s="44">
        <v>314837.64984461217</v>
      </c>
      <c r="AX282" s="62">
        <v>1903515.0059341532</v>
      </c>
      <c r="AY282" s="62">
        <v>1896890.0459341533</v>
      </c>
      <c r="AZ282" s="62">
        <v>4610</v>
      </c>
      <c r="BA282" s="62">
        <v>1714920</v>
      </c>
      <c r="BB282" s="62">
        <v>0</v>
      </c>
      <c r="BC282" s="62">
        <v>0</v>
      </c>
      <c r="BD282" s="62">
        <v>1903515.0059341532</v>
      </c>
      <c r="BE282" s="44">
        <v>1903515.005934153</v>
      </c>
      <c r="BF282" s="44">
        <v>0</v>
      </c>
      <c r="BG282" s="62">
        <v>1721544.96</v>
      </c>
      <c r="BH282" s="62">
        <v>1576676.46</v>
      </c>
      <c r="BI282" s="44">
        <v>1758646.5059341532</v>
      </c>
      <c r="BJ282" s="44">
        <v>4727.5443707907343</v>
      </c>
      <c r="BK282" s="44">
        <v>4651.0357313131308</v>
      </c>
      <c r="BL282" s="45">
        <v>1.6449806859686882E-2</v>
      </c>
      <c r="BM282" s="45">
        <v>0</v>
      </c>
      <c r="BN282" s="44">
        <v>0</v>
      </c>
      <c r="BO282" s="62">
        <v>1903515.0059341532</v>
      </c>
      <c r="BP282" s="62">
        <v>5099.166790145573</v>
      </c>
      <c r="BQ282" s="62" t="s">
        <v>92</v>
      </c>
      <c r="BR282" s="62">
        <v>5116.9758224036377</v>
      </c>
      <c r="BS282" s="53">
        <v>2.0344607433179229E-2</v>
      </c>
      <c r="BT282" s="44">
        <v>0</v>
      </c>
      <c r="BU282" s="44">
        <v>1903515.0059341532</v>
      </c>
      <c r="BV282" s="44">
        <v>0</v>
      </c>
      <c r="BW282" s="44">
        <v>1903515.0059341532</v>
      </c>
      <c r="BX282" s="44">
        <v>6624.96</v>
      </c>
      <c r="BY282" s="44">
        <v>1896890.0459341533</v>
      </c>
    </row>
    <row r="283" spans="1:77">
      <c r="A283">
        <v>0</v>
      </c>
      <c r="B283" s="60">
        <v>147478</v>
      </c>
      <c r="C283" s="60">
        <v>3303302</v>
      </c>
      <c r="D283" s="61" t="s">
        <v>990</v>
      </c>
      <c r="E283" s="52">
        <v>411</v>
      </c>
      <c r="F283" s="52">
        <v>411</v>
      </c>
      <c r="G283" s="52">
        <v>0</v>
      </c>
      <c r="H283" s="44">
        <v>1469120.5685999999</v>
      </c>
      <c r="I283" s="44">
        <v>0</v>
      </c>
      <c r="J283" s="44">
        <v>0</v>
      </c>
      <c r="K283" s="44">
        <v>71791.105399999913</v>
      </c>
      <c r="L283" s="44">
        <v>0</v>
      </c>
      <c r="M283" s="44">
        <v>122608.85179999995</v>
      </c>
      <c r="N283" s="44">
        <v>0</v>
      </c>
      <c r="O283" s="44">
        <v>30893.048800000008</v>
      </c>
      <c r="P283" s="44">
        <v>22308.023399999969</v>
      </c>
      <c r="Q283" s="44">
        <v>2232.8094999999998</v>
      </c>
      <c r="R283" s="44">
        <v>20928.198900000058</v>
      </c>
      <c r="S283" s="44">
        <v>29458.033199999933</v>
      </c>
      <c r="T283" s="44">
        <v>24565.924799999993</v>
      </c>
      <c r="U283" s="44">
        <v>0</v>
      </c>
      <c r="V283" s="44">
        <v>0</v>
      </c>
      <c r="W283" s="44">
        <v>0</v>
      </c>
      <c r="X283" s="44">
        <v>0</v>
      </c>
      <c r="Y283" s="44">
        <v>0</v>
      </c>
      <c r="Z283" s="44">
        <v>0</v>
      </c>
      <c r="AA283" s="44">
        <v>32584.141240170964</v>
      </c>
      <c r="AB283" s="44">
        <v>0</v>
      </c>
      <c r="AC283" s="44">
        <v>144203.70681375221</v>
      </c>
      <c r="AD283" s="44">
        <v>0</v>
      </c>
      <c r="AE283" s="44">
        <v>0</v>
      </c>
      <c r="AF283" s="44">
        <v>0</v>
      </c>
      <c r="AG283" s="44">
        <v>138243.54</v>
      </c>
      <c r="AH283" s="44">
        <v>0</v>
      </c>
      <c r="AI283" s="44">
        <v>0</v>
      </c>
      <c r="AJ283" s="44">
        <v>0</v>
      </c>
      <c r="AK283" s="44">
        <v>3921.9722000000002</v>
      </c>
      <c r="AL283" s="44">
        <v>0</v>
      </c>
      <c r="AM283" s="44">
        <v>0</v>
      </c>
      <c r="AN283" s="44">
        <v>0</v>
      </c>
      <c r="AO283" s="44">
        <v>0</v>
      </c>
      <c r="AP283" s="44">
        <v>0</v>
      </c>
      <c r="AQ283" s="44">
        <v>0</v>
      </c>
      <c r="AR283" s="44">
        <v>0</v>
      </c>
      <c r="AS283" s="44">
        <v>0</v>
      </c>
      <c r="AT283" s="44">
        <v>1469120.5685999999</v>
      </c>
      <c r="AU283" s="44">
        <v>501573.84385392303</v>
      </c>
      <c r="AV283" s="44">
        <v>142165.5122</v>
      </c>
      <c r="AW283" s="44">
        <v>380052.73314375209</v>
      </c>
      <c r="AX283" s="62">
        <v>2112859.9246539231</v>
      </c>
      <c r="AY283" s="62">
        <v>2108937.9524539229</v>
      </c>
      <c r="AZ283" s="62">
        <v>4610</v>
      </c>
      <c r="BA283" s="62">
        <v>1894710</v>
      </c>
      <c r="BB283" s="62">
        <v>0</v>
      </c>
      <c r="BC283" s="62">
        <v>0</v>
      </c>
      <c r="BD283" s="62">
        <v>2112859.9246539231</v>
      </c>
      <c r="BE283" s="44">
        <v>2112859.9246539231</v>
      </c>
      <c r="BF283" s="44">
        <v>0</v>
      </c>
      <c r="BG283" s="62">
        <v>1898631.9722</v>
      </c>
      <c r="BH283" s="62">
        <v>1756466.46</v>
      </c>
      <c r="BI283" s="44">
        <v>1970694.4124539231</v>
      </c>
      <c r="BJ283" s="44">
        <v>4794.8769159462854</v>
      </c>
      <c r="BK283" s="44">
        <v>4628.4597172069825</v>
      </c>
      <c r="BL283" s="45">
        <v>3.5955200845893154E-2</v>
      </c>
      <c r="BM283" s="45">
        <v>0</v>
      </c>
      <c r="BN283" s="44">
        <v>0</v>
      </c>
      <c r="BO283" s="62">
        <v>2112859.9246539231</v>
      </c>
      <c r="BP283" s="62">
        <v>5131.2358940484746</v>
      </c>
      <c r="BQ283" s="62" t="s">
        <v>92</v>
      </c>
      <c r="BR283" s="62">
        <v>5140.7784054839976</v>
      </c>
      <c r="BS283" s="53">
        <v>3.037168086339892E-2</v>
      </c>
      <c r="BT283" s="44">
        <v>0</v>
      </c>
      <c r="BU283" s="44">
        <v>2112859.9246539231</v>
      </c>
      <c r="BV283" s="44">
        <v>0</v>
      </c>
      <c r="BW283" s="44">
        <v>2112859.9246539231</v>
      </c>
      <c r="BX283" s="44">
        <v>3921.9722000000002</v>
      </c>
      <c r="BY283" s="44">
        <v>2108937.9524539229</v>
      </c>
    </row>
    <row r="284" spans="1:77">
      <c r="A284">
        <v>0</v>
      </c>
      <c r="B284" s="60">
        <v>140463</v>
      </c>
      <c r="C284" s="60">
        <v>3303303</v>
      </c>
      <c r="D284" s="61" t="s">
        <v>991</v>
      </c>
      <c r="E284" s="52">
        <v>191</v>
      </c>
      <c r="F284" s="52">
        <v>191</v>
      </c>
      <c r="G284" s="52">
        <v>0</v>
      </c>
      <c r="H284" s="44">
        <v>682729.99659999995</v>
      </c>
      <c r="I284" s="44">
        <v>0</v>
      </c>
      <c r="J284" s="44">
        <v>0</v>
      </c>
      <c r="K284" s="44">
        <v>44746.510899999979</v>
      </c>
      <c r="L284" s="44">
        <v>0</v>
      </c>
      <c r="M284" s="44">
        <v>74881.916199999963</v>
      </c>
      <c r="N284" s="44">
        <v>0</v>
      </c>
      <c r="O284" s="44">
        <v>4267.1876968421075</v>
      </c>
      <c r="P284" s="44">
        <v>1437.5278236842098</v>
      </c>
      <c r="Q284" s="44">
        <v>42646.66145</v>
      </c>
      <c r="R284" s="44">
        <v>8317.486147894735</v>
      </c>
      <c r="S284" s="44">
        <v>23378.743800000011</v>
      </c>
      <c r="T284" s="44">
        <v>685.97830947368391</v>
      </c>
      <c r="U284" s="44">
        <v>0</v>
      </c>
      <c r="V284" s="44">
        <v>0</v>
      </c>
      <c r="W284" s="44">
        <v>0</v>
      </c>
      <c r="X284" s="44">
        <v>0</v>
      </c>
      <c r="Y284" s="44">
        <v>0</v>
      </c>
      <c r="Z284" s="44">
        <v>0</v>
      </c>
      <c r="AA284" s="44">
        <v>46889.12712926825</v>
      </c>
      <c r="AB284" s="44">
        <v>0</v>
      </c>
      <c r="AC284" s="44">
        <v>67107.70159443609</v>
      </c>
      <c r="AD284" s="44">
        <v>0</v>
      </c>
      <c r="AE284" s="44">
        <v>15934.133183999917</v>
      </c>
      <c r="AF284" s="44">
        <v>0</v>
      </c>
      <c r="AG284" s="44">
        <v>138243.54</v>
      </c>
      <c r="AH284" s="44">
        <v>0</v>
      </c>
      <c r="AI284" s="44">
        <v>0</v>
      </c>
      <c r="AJ284" s="44">
        <v>0</v>
      </c>
      <c r="AK284" s="44">
        <v>9910.9380999999994</v>
      </c>
      <c r="AL284" s="44">
        <v>0</v>
      </c>
      <c r="AM284" s="44">
        <v>0</v>
      </c>
      <c r="AN284" s="44">
        <v>0</v>
      </c>
      <c r="AO284" s="44">
        <v>0</v>
      </c>
      <c r="AP284" s="44">
        <v>0</v>
      </c>
      <c r="AQ284" s="44">
        <v>0</v>
      </c>
      <c r="AR284" s="44">
        <v>0</v>
      </c>
      <c r="AS284" s="44">
        <v>0</v>
      </c>
      <c r="AT284" s="44">
        <v>682729.99659999995</v>
      </c>
      <c r="AU284" s="44">
        <v>330292.97423559899</v>
      </c>
      <c r="AV284" s="44">
        <v>148154.47810000001</v>
      </c>
      <c r="AW284" s="44">
        <v>201425.2075883834</v>
      </c>
      <c r="AX284" s="62">
        <v>1161177.4489355988</v>
      </c>
      <c r="AY284" s="62">
        <v>1151266.5108355989</v>
      </c>
      <c r="AZ284" s="62">
        <v>4610</v>
      </c>
      <c r="BA284" s="62">
        <v>880510</v>
      </c>
      <c r="BB284" s="62">
        <v>0</v>
      </c>
      <c r="BC284" s="62">
        <v>0</v>
      </c>
      <c r="BD284" s="62">
        <v>1161177.4489355988</v>
      </c>
      <c r="BE284" s="44">
        <v>1161177.4489355991</v>
      </c>
      <c r="BF284" s="44">
        <v>0</v>
      </c>
      <c r="BG284" s="62">
        <v>890420.93810000003</v>
      </c>
      <c r="BH284" s="62">
        <v>742266.46</v>
      </c>
      <c r="BI284" s="44">
        <v>1013022.9708355988</v>
      </c>
      <c r="BJ284" s="44">
        <v>5303.7851876209361</v>
      </c>
      <c r="BK284" s="44">
        <v>5140.1589502890165</v>
      </c>
      <c r="BL284" s="45">
        <v>3.1832913906819818E-2</v>
      </c>
      <c r="BM284" s="45">
        <v>0</v>
      </c>
      <c r="BN284" s="44">
        <v>0</v>
      </c>
      <c r="BO284" s="62">
        <v>1161177.4489355988</v>
      </c>
      <c r="BP284" s="62">
        <v>6027.5733551602034</v>
      </c>
      <c r="BQ284" s="62" t="s">
        <v>92</v>
      </c>
      <c r="BR284" s="62">
        <v>6079.4630834324544</v>
      </c>
      <c r="BS284" s="53">
        <v>1.9827750659744847E-2</v>
      </c>
      <c r="BT284" s="44">
        <v>0</v>
      </c>
      <c r="BU284" s="44">
        <v>1161177.4489355988</v>
      </c>
      <c r="BV284" s="44">
        <v>0</v>
      </c>
      <c r="BW284" s="44">
        <v>1161177.4489355988</v>
      </c>
      <c r="BX284" s="44">
        <v>9910.9380999999994</v>
      </c>
      <c r="BY284" s="44">
        <v>1151266.5108355989</v>
      </c>
    </row>
    <row r="285" spans="1:77">
      <c r="A285">
        <v>0</v>
      </c>
      <c r="B285" s="60">
        <v>139173</v>
      </c>
      <c r="C285" s="60">
        <v>3303306</v>
      </c>
      <c r="D285" s="61" t="s">
        <v>992</v>
      </c>
      <c r="E285" s="52">
        <v>417</v>
      </c>
      <c r="F285" s="52">
        <v>417</v>
      </c>
      <c r="G285" s="52">
        <v>0</v>
      </c>
      <c r="H285" s="44">
        <v>1490567.5841999999</v>
      </c>
      <c r="I285" s="44">
        <v>0</v>
      </c>
      <c r="J285" s="44">
        <v>0</v>
      </c>
      <c r="K285" s="44">
        <v>83100.663100000034</v>
      </c>
      <c r="L285" s="44">
        <v>0</v>
      </c>
      <c r="M285" s="44">
        <v>141535.05039999989</v>
      </c>
      <c r="N285" s="44">
        <v>0</v>
      </c>
      <c r="O285" s="44">
        <v>2829.8976000000016</v>
      </c>
      <c r="P285" s="44">
        <v>51766.054299999996</v>
      </c>
      <c r="Q285" s="44">
        <v>45102.751899999923</v>
      </c>
      <c r="R285" s="44">
        <v>41856.397800000064</v>
      </c>
      <c r="S285" s="44">
        <v>4651.2683999999908</v>
      </c>
      <c r="T285" s="44">
        <v>1364.7735999999986</v>
      </c>
      <c r="U285" s="44">
        <v>0</v>
      </c>
      <c r="V285" s="44">
        <v>0</v>
      </c>
      <c r="W285" s="44">
        <v>0</v>
      </c>
      <c r="X285" s="44">
        <v>0</v>
      </c>
      <c r="Y285" s="44">
        <v>0</v>
      </c>
      <c r="Z285" s="44">
        <v>0</v>
      </c>
      <c r="AA285" s="44">
        <v>114110.47135714292</v>
      </c>
      <c r="AB285" s="44">
        <v>0</v>
      </c>
      <c r="AC285" s="44">
        <v>191923.06683814613</v>
      </c>
      <c r="AD285" s="44">
        <v>0</v>
      </c>
      <c r="AE285" s="44">
        <v>0</v>
      </c>
      <c r="AF285" s="44">
        <v>0</v>
      </c>
      <c r="AG285" s="44">
        <v>138243.54</v>
      </c>
      <c r="AH285" s="44">
        <v>0</v>
      </c>
      <c r="AI285" s="44">
        <v>0</v>
      </c>
      <c r="AJ285" s="44">
        <v>0</v>
      </c>
      <c r="AK285" s="44">
        <v>5034.9696000000004</v>
      </c>
      <c r="AL285" s="44">
        <v>0</v>
      </c>
      <c r="AM285" s="44">
        <v>0</v>
      </c>
      <c r="AN285" s="44">
        <v>0</v>
      </c>
      <c r="AO285" s="44">
        <v>0</v>
      </c>
      <c r="AP285" s="44">
        <v>0</v>
      </c>
      <c r="AQ285" s="44">
        <v>0</v>
      </c>
      <c r="AR285" s="44">
        <v>0</v>
      </c>
      <c r="AS285" s="44">
        <v>0</v>
      </c>
      <c r="AT285" s="44">
        <v>1490567.5841999999</v>
      </c>
      <c r="AU285" s="44">
        <v>678240.39529528888</v>
      </c>
      <c r="AV285" s="44">
        <v>143278.50960000002</v>
      </c>
      <c r="AW285" s="44">
        <v>452554.87459814613</v>
      </c>
      <c r="AX285" s="62">
        <v>2312086.4890952888</v>
      </c>
      <c r="AY285" s="62">
        <v>2307051.5194952888</v>
      </c>
      <c r="AZ285" s="62">
        <v>4610</v>
      </c>
      <c r="BA285" s="62">
        <v>1922370</v>
      </c>
      <c r="BB285" s="62">
        <v>0</v>
      </c>
      <c r="BC285" s="62">
        <v>0</v>
      </c>
      <c r="BD285" s="62">
        <v>2312086.4890952888</v>
      </c>
      <c r="BE285" s="44">
        <v>2312086.4890952888</v>
      </c>
      <c r="BF285" s="44">
        <v>0</v>
      </c>
      <c r="BG285" s="62">
        <v>1927404.9696</v>
      </c>
      <c r="BH285" s="62">
        <v>1784126.46</v>
      </c>
      <c r="BI285" s="44">
        <v>2168807.9794952888</v>
      </c>
      <c r="BJ285" s="44">
        <v>5200.9783680942173</v>
      </c>
      <c r="BK285" s="44">
        <v>4995.9347651551316</v>
      </c>
      <c r="BL285" s="45">
        <v>4.1042089734476116E-2</v>
      </c>
      <c r="BM285" s="45">
        <v>0</v>
      </c>
      <c r="BN285" s="44">
        <v>0</v>
      </c>
      <c r="BO285" s="62">
        <v>2312086.4890952888</v>
      </c>
      <c r="BP285" s="62">
        <v>5532.4976486697578</v>
      </c>
      <c r="BQ285" s="62" t="s">
        <v>92</v>
      </c>
      <c r="BR285" s="62">
        <v>5544.5719162956566</v>
      </c>
      <c r="BS285" s="53">
        <v>3.6594025281156739E-2</v>
      </c>
      <c r="BT285" s="44">
        <v>0</v>
      </c>
      <c r="BU285" s="44">
        <v>2312086.4890952888</v>
      </c>
      <c r="BV285" s="44">
        <v>0</v>
      </c>
      <c r="BW285" s="44">
        <v>2312086.4890952888</v>
      </c>
      <c r="BX285" s="44">
        <v>5034.9696000000004</v>
      </c>
      <c r="BY285" s="44">
        <v>2307051.5194952888</v>
      </c>
    </row>
    <row r="286" spans="1:77">
      <c r="A286">
        <v>0</v>
      </c>
      <c r="B286" s="60">
        <v>139174</v>
      </c>
      <c r="C286" s="60">
        <v>3303311</v>
      </c>
      <c r="D286" s="61" t="s">
        <v>993</v>
      </c>
      <c r="E286" s="52">
        <v>397</v>
      </c>
      <c r="F286" s="52">
        <v>397</v>
      </c>
      <c r="G286" s="52">
        <v>0</v>
      </c>
      <c r="H286" s="44">
        <v>1419077.5322</v>
      </c>
      <c r="I286" s="44">
        <v>0</v>
      </c>
      <c r="J286" s="44">
        <v>0</v>
      </c>
      <c r="K286" s="44">
        <v>97360.540199999945</v>
      </c>
      <c r="L286" s="44">
        <v>0</v>
      </c>
      <c r="M286" s="44">
        <v>163752.76180000009</v>
      </c>
      <c r="N286" s="44">
        <v>0</v>
      </c>
      <c r="O286" s="44">
        <v>6383.3485636363657</v>
      </c>
      <c r="P286" s="44">
        <v>2580.5027068181789</v>
      </c>
      <c r="Q286" s="44">
        <v>3133.8270709596</v>
      </c>
      <c r="R286" s="44">
        <v>18541.391156060614</v>
      </c>
      <c r="S286" s="44">
        <v>111912.33665454536</v>
      </c>
      <c r="T286" s="44">
        <v>37626.049944444479</v>
      </c>
      <c r="U286" s="44">
        <v>0</v>
      </c>
      <c r="V286" s="44">
        <v>0</v>
      </c>
      <c r="W286" s="44">
        <v>0</v>
      </c>
      <c r="X286" s="44">
        <v>0</v>
      </c>
      <c r="Y286" s="44">
        <v>0</v>
      </c>
      <c r="Z286" s="44">
        <v>0</v>
      </c>
      <c r="AA286" s="44">
        <v>21494.444148377588</v>
      </c>
      <c r="AB286" s="44">
        <v>0</v>
      </c>
      <c r="AC286" s="44">
        <v>166224.79418049188</v>
      </c>
      <c r="AD286" s="44">
        <v>0</v>
      </c>
      <c r="AE286" s="44">
        <v>2100.1457279999995</v>
      </c>
      <c r="AF286" s="44">
        <v>0</v>
      </c>
      <c r="AG286" s="44">
        <v>138243.54</v>
      </c>
      <c r="AH286" s="44">
        <v>0</v>
      </c>
      <c r="AI286" s="44">
        <v>0</v>
      </c>
      <c r="AJ286" s="44">
        <v>0</v>
      </c>
      <c r="AK286" s="44">
        <v>3948.4740999999999</v>
      </c>
      <c r="AL286" s="44">
        <v>0</v>
      </c>
      <c r="AM286" s="44">
        <v>0</v>
      </c>
      <c r="AN286" s="44">
        <v>0</v>
      </c>
      <c r="AO286" s="44">
        <v>0</v>
      </c>
      <c r="AP286" s="44">
        <v>0</v>
      </c>
      <c r="AQ286" s="44">
        <v>0</v>
      </c>
      <c r="AR286" s="44">
        <v>0</v>
      </c>
      <c r="AS286" s="44">
        <v>0</v>
      </c>
      <c r="AT286" s="44">
        <v>1419077.5322</v>
      </c>
      <c r="AU286" s="44">
        <v>631110.14215333411</v>
      </c>
      <c r="AV286" s="44">
        <v>142192.0141</v>
      </c>
      <c r="AW286" s="44">
        <v>457824.0498387242</v>
      </c>
      <c r="AX286" s="62">
        <v>2192379.6884533339</v>
      </c>
      <c r="AY286" s="62">
        <v>2188431.2143533337</v>
      </c>
      <c r="AZ286" s="62">
        <v>4610</v>
      </c>
      <c r="BA286" s="62">
        <v>1830170</v>
      </c>
      <c r="BB286" s="62">
        <v>0</v>
      </c>
      <c r="BC286" s="62">
        <v>0</v>
      </c>
      <c r="BD286" s="62">
        <v>2192379.6884533339</v>
      </c>
      <c r="BE286" s="44">
        <v>2192379.6884533339</v>
      </c>
      <c r="BF286" s="44">
        <v>0</v>
      </c>
      <c r="BG286" s="62">
        <v>1834118.4741</v>
      </c>
      <c r="BH286" s="62">
        <v>1691926.46</v>
      </c>
      <c r="BI286" s="44">
        <v>2050187.6743533339</v>
      </c>
      <c r="BJ286" s="44">
        <v>5164.2006910663322</v>
      </c>
      <c r="BK286" s="44">
        <v>5008.8906118090454</v>
      </c>
      <c r="BL286" s="45">
        <v>3.1006881821520546E-2</v>
      </c>
      <c r="BM286" s="45">
        <v>0</v>
      </c>
      <c r="BN286" s="44">
        <v>0</v>
      </c>
      <c r="BO286" s="62">
        <v>2192379.6884533339</v>
      </c>
      <c r="BP286" s="62">
        <v>5512.4211948446691</v>
      </c>
      <c r="BQ286" s="62" t="s">
        <v>92</v>
      </c>
      <c r="BR286" s="62">
        <v>5522.3669734340901</v>
      </c>
      <c r="BS286" s="53">
        <v>2.8657547799169292E-2</v>
      </c>
      <c r="BT286" s="44">
        <v>0</v>
      </c>
      <c r="BU286" s="44">
        <v>2192379.6884533339</v>
      </c>
      <c r="BV286" s="44">
        <v>0</v>
      </c>
      <c r="BW286" s="44">
        <v>2192379.6884533339</v>
      </c>
      <c r="BX286" s="44">
        <v>3948.4740999999999</v>
      </c>
      <c r="BY286" s="44">
        <v>2188431.2143533337</v>
      </c>
    </row>
    <row r="287" spans="1:77">
      <c r="A287">
        <v>0</v>
      </c>
      <c r="B287" s="60">
        <v>142375</v>
      </c>
      <c r="C287" s="60">
        <v>3303314</v>
      </c>
      <c r="D287" s="61" t="s">
        <v>994</v>
      </c>
      <c r="E287" s="52">
        <v>210</v>
      </c>
      <c r="F287" s="52">
        <v>210</v>
      </c>
      <c r="G287" s="52">
        <v>0</v>
      </c>
      <c r="H287" s="44">
        <v>750645.54599999997</v>
      </c>
      <c r="I287" s="44">
        <v>0</v>
      </c>
      <c r="J287" s="44">
        <v>0</v>
      </c>
      <c r="K287" s="44">
        <v>46713.390499999958</v>
      </c>
      <c r="L287" s="44">
        <v>0</v>
      </c>
      <c r="M287" s="44">
        <v>79819.185400000017</v>
      </c>
      <c r="N287" s="44">
        <v>0</v>
      </c>
      <c r="O287" s="44">
        <v>3537.3719999999985</v>
      </c>
      <c r="P287" s="44">
        <v>6292.0066000000143</v>
      </c>
      <c r="Q287" s="44">
        <v>4465.6189999999979</v>
      </c>
      <c r="R287" s="44">
        <v>7787.2367999999997</v>
      </c>
      <c r="S287" s="44">
        <v>24289.957200000023</v>
      </c>
      <c r="T287" s="44">
        <v>48449.462799999987</v>
      </c>
      <c r="U287" s="44">
        <v>0</v>
      </c>
      <c r="V287" s="44">
        <v>0</v>
      </c>
      <c r="W287" s="44">
        <v>0</v>
      </c>
      <c r="X287" s="44">
        <v>0</v>
      </c>
      <c r="Y287" s="44">
        <v>0</v>
      </c>
      <c r="Z287" s="44">
        <v>0</v>
      </c>
      <c r="AA287" s="44">
        <v>40513.615516853999</v>
      </c>
      <c r="AB287" s="44">
        <v>0</v>
      </c>
      <c r="AC287" s="44">
        <v>82630.173644827562</v>
      </c>
      <c r="AD287" s="44">
        <v>0</v>
      </c>
      <c r="AE287" s="44">
        <v>0</v>
      </c>
      <c r="AF287" s="44">
        <v>0</v>
      </c>
      <c r="AG287" s="44">
        <v>138243.54</v>
      </c>
      <c r="AH287" s="44">
        <v>0</v>
      </c>
      <c r="AI287" s="44">
        <v>0</v>
      </c>
      <c r="AJ287" s="44">
        <v>0</v>
      </c>
      <c r="AK287" s="44">
        <v>0</v>
      </c>
      <c r="AL287" s="44">
        <v>0</v>
      </c>
      <c r="AM287" s="44">
        <v>0</v>
      </c>
      <c r="AN287" s="44">
        <v>0</v>
      </c>
      <c r="AO287" s="44">
        <v>0</v>
      </c>
      <c r="AP287" s="44">
        <v>0</v>
      </c>
      <c r="AQ287" s="44">
        <v>0</v>
      </c>
      <c r="AR287" s="44">
        <v>0</v>
      </c>
      <c r="AS287" s="44">
        <v>0</v>
      </c>
      <c r="AT287" s="44">
        <v>750645.54599999997</v>
      </c>
      <c r="AU287" s="44">
        <v>344498.0194616816</v>
      </c>
      <c r="AV287" s="44">
        <v>138243.54</v>
      </c>
      <c r="AW287" s="44">
        <v>230839.56609482758</v>
      </c>
      <c r="AX287" s="62">
        <v>1233387.1054616817</v>
      </c>
      <c r="AY287" s="62">
        <v>1233387.1054616817</v>
      </c>
      <c r="AZ287" s="62">
        <v>4610</v>
      </c>
      <c r="BA287" s="62">
        <v>968100</v>
      </c>
      <c r="BB287" s="62">
        <v>0</v>
      </c>
      <c r="BC287" s="62">
        <v>0</v>
      </c>
      <c r="BD287" s="62">
        <v>1233387.1054616817</v>
      </c>
      <c r="BE287" s="44">
        <v>1233387.1054616813</v>
      </c>
      <c r="BF287" s="44">
        <v>0</v>
      </c>
      <c r="BG287" s="62">
        <v>968100</v>
      </c>
      <c r="BH287" s="62">
        <v>829856.46</v>
      </c>
      <c r="BI287" s="44">
        <v>1095143.5654616817</v>
      </c>
      <c r="BJ287" s="44">
        <v>5214.9693593413413</v>
      </c>
      <c r="BK287" s="44">
        <v>6798.1486368421056</v>
      </c>
      <c r="BL287" s="45">
        <v>-0.23288388678659239</v>
      </c>
      <c r="BM287" s="45">
        <v>0.23788388678659239</v>
      </c>
      <c r="BN287" s="44">
        <v>339605.70434384473</v>
      </c>
      <c r="BO287" s="62">
        <v>1572992.8098055264</v>
      </c>
      <c r="BP287" s="62">
        <v>7490.4419514548872</v>
      </c>
      <c r="BQ287" s="62" t="s">
        <v>92</v>
      </c>
      <c r="BR287" s="62">
        <v>7490.4419514548872</v>
      </c>
      <c r="BS287" s="53">
        <v>1.6714500883270311E-3</v>
      </c>
      <c r="BT287" s="44">
        <v>0</v>
      </c>
      <c r="BU287" s="44">
        <v>1572992.8098055264</v>
      </c>
      <c r="BV287" s="44">
        <v>0</v>
      </c>
      <c r="BW287" s="44">
        <v>1572992.8098055264</v>
      </c>
      <c r="BX287" s="44">
        <v>0</v>
      </c>
      <c r="BY287" s="44">
        <v>1572992.8098055264</v>
      </c>
    </row>
    <row r="288" spans="1:77">
      <c r="A288">
        <v>0</v>
      </c>
      <c r="B288" s="60">
        <v>148081</v>
      </c>
      <c r="C288" s="60">
        <v>3303316</v>
      </c>
      <c r="D288" s="61" t="s">
        <v>995</v>
      </c>
      <c r="E288" s="52">
        <v>202</v>
      </c>
      <c r="F288" s="52">
        <v>202</v>
      </c>
      <c r="G288" s="52">
        <v>0</v>
      </c>
      <c r="H288" s="44">
        <v>722049.52519999992</v>
      </c>
      <c r="I288" s="44">
        <v>0</v>
      </c>
      <c r="J288" s="44">
        <v>0</v>
      </c>
      <c r="K288" s="44">
        <v>42779.631300000037</v>
      </c>
      <c r="L288" s="44">
        <v>0</v>
      </c>
      <c r="M288" s="44">
        <v>73236.159800000067</v>
      </c>
      <c r="N288" s="44">
        <v>0</v>
      </c>
      <c r="O288" s="44">
        <v>943.29919999999993</v>
      </c>
      <c r="P288" s="44">
        <v>2574.0027000000023</v>
      </c>
      <c r="Q288" s="44">
        <v>17862.475999999995</v>
      </c>
      <c r="R288" s="44">
        <v>22388.305800000027</v>
      </c>
      <c r="S288" s="44">
        <v>18088.265999999974</v>
      </c>
      <c r="T288" s="44">
        <v>31389.792800000039</v>
      </c>
      <c r="U288" s="44">
        <v>0</v>
      </c>
      <c r="V288" s="44">
        <v>0</v>
      </c>
      <c r="W288" s="44">
        <v>0</v>
      </c>
      <c r="X288" s="44">
        <v>0</v>
      </c>
      <c r="Y288" s="44">
        <v>0</v>
      </c>
      <c r="Z288" s="44">
        <v>0</v>
      </c>
      <c r="AA288" s="44">
        <v>9199.870907692306</v>
      </c>
      <c r="AB288" s="44">
        <v>0</v>
      </c>
      <c r="AC288" s="44">
        <v>73698.242704666656</v>
      </c>
      <c r="AD288" s="44">
        <v>0</v>
      </c>
      <c r="AE288" s="44">
        <v>0</v>
      </c>
      <c r="AF288" s="44">
        <v>0</v>
      </c>
      <c r="AG288" s="44">
        <v>138243.54</v>
      </c>
      <c r="AH288" s="44">
        <v>0</v>
      </c>
      <c r="AI288" s="44">
        <v>0</v>
      </c>
      <c r="AJ288" s="44">
        <v>0</v>
      </c>
      <c r="AK288" s="44">
        <v>0</v>
      </c>
      <c r="AL288" s="44">
        <v>0</v>
      </c>
      <c r="AM288" s="44">
        <v>0</v>
      </c>
      <c r="AN288" s="44">
        <v>0</v>
      </c>
      <c r="AO288" s="44">
        <v>0</v>
      </c>
      <c r="AP288" s="44">
        <v>0</v>
      </c>
      <c r="AQ288" s="44">
        <v>0</v>
      </c>
      <c r="AR288" s="44">
        <v>0</v>
      </c>
      <c r="AS288" s="44">
        <v>0</v>
      </c>
      <c r="AT288" s="44">
        <v>722049.52519999992</v>
      </c>
      <c r="AU288" s="44">
        <v>292160.04721235903</v>
      </c>
      <c r="AV288" s="44">
        <v>138243.54</v>
      </c>
      <c r="AW288" s="44">
        <v>214431.68576466673</v>
      </c>
      <c r="AX288" s="62">
        <v>1152453.1124123589</v>
      </c>
      <c r="AY288" s="62">
        <v>1152453.1124123589</v>
      </c>
      <c r="AZ288" s="62">
        <v>4610</v>
      </c>
      <c r="BA288" s="62">
        <v>931220</v>
      </c>
      <c r="BB288" s="62">
        <v>0</v>
      </c>
      <c r="BC288" s="62">
        <v>0</v>
      </c>
      <c r="BD288" s="62">
        <v>1152453.1124123589</v>
      </c>
      <c r="BE288" s="44">
        <v>1152453.1124123589</v>
      </c>
      <c r="BF288" s="44">
        <v>0</v>
      </c>
      <c r="BG288" s="62">
        <v>931220</v>
      </c>
      <c r="BH288" s="62">
        <v>792976.46</v>
      </c>
      <c r="BI288" s="44">
        <v>1014209.5724123588</v>
      </c>
      <c r="BJ288" s="44">
        <v>5020.8394673879147</v>
      </c>
      <c r="BK288" s="44">
        <v>4930.5780574879227</v>
      </c>
      <c r="BL288" s="45">
        <v>1.8306455926179833E-2</v>
      </c>
      <c r="BM288" s="45">
        <v>0</v>
      </c>
      <c r="BN288" s="44">
        <v>0</v>
      </c>
      <c r="BO288" s="62">
        <v>1152453.1124123589</v>
      </c>
      <c r="BP288" s="62">
        <v>5705.213427783955</v>
      </c>
      <c r="BQ288" s="62" t="s">
        <v>92</v>
      </c>
      <c r="BR288" s="62">
        <v>5705.213427783955</v>
      </c>
      <c r="BS288" s="53">
        <v>1.9075410227225031E-2</v>
      </c>
      <c r="BT288" s="44">
        <v>0</v>
      </c>
      <c r="BU288" s="44">
        <v>1152453.1124123589</v>
      </c>
      <c r="BV288" s="44">
        <v>0</v>
      </c>
      <c r="BW288" s="44">
        <v>1152453.1124123589</v>
      </c>
      <c r="BX288" s="44">
        <v>0</v>
      </c>
      <c r="BY288" s="44">
        <v>1152453.1124123589</v>
      </c>
    </row>
    <row r="289" spans="1:77">
      <c r="A289">
        <v>0</v>
      </c>
      <c r="B289" s="60">
        <v>147669</v>
      </c>
      <c r="C289" s="60">
        <v>3303318</v>
      </c>
      <c r="D289" s="61" t="s">
        <v>996</v>
      </c>
      <c r="E289" s="52">
        <v>420</v>
      </c>
      <c r="F289" s="52">
        <v>420</v>
      </c>
      <c r="G289" s="52">
        <v>0</v>
      </c>
      <c r="H289" s="44">
        <v>1501291.0919999999</v>
      </c>
      <c r="I289" s="44">
        <v>0</v>
      </c>
      <c r="J289" s="44">
        <v>0</v>
      </c>
      <c r="K289" s="44">
        <v>62448.427299999916</v>
      </c>
      <c r="L289" s="44">
        <v>0</v>
      </c>
      <c r="M289" s="44">
        <v>110265.67879999999</v>
      </c>
      <c r="N289" s="44">
        <v>0</v>
      </c>
      <c r="O289" s="44">
        <v>19573.45840000004</v>
      </c>
      <c r="P289" s="44">
        <v>12298.012899999954</v>
      </c>
      <c r="Q289" s="44">
        <v>2679.3714000000023</v>
      </c>
      <c r="R289" s="44">
        <v>35529.267900000043</v>
      </c>
      <c r="S289" s="44">
        <v>6718.4988000000094</v>
      </c>
      <c r="T289" s="44">
        <v>87345.510400000072</v>
      </c>
      <c r="U289" s="44">
        <v>0</v>
      </c>
      <c r="V289" s="44">
        <v>0</v>
      </c>
      <c r="W289" s="44">
        <v>0</v>
      </c>
      <c r="X289" s="44">
        <v>0</v>
      </c>
      <c r="Y289" s="44">
        <v>0</v>
      </c>
      <c r="Z289" s="44">
        <v>0</v>
      </c>
      <c r="AA289" s="44">
        <v>75982.432166666797</v>
      </c>
      <c r="AB289" s="44">
        <v>0</v>
      </c>
      <c r="AC289" s="44">
        <v>120140.40090892449</v>
      </c>
      <c r="AD289" s="44">
        <v>0</v>
      </c>
      <c r="AE289" s="44">
        <v>0</v>
      </c>
      <c r="AF289" s="44">
        <v>0</v>
      </c>
      <c r="AG289" s="44">
        <v>138243.54</v>
      </c>
      <c r="AH289" s="44">
        <v>0</v>
      </c>
      <c r="AI289" s="44">
        <v>0</v>
      </c>
      <c r="AJ289" s="44">
        <v>0</v>
      </c>
      <c r="AK289" s="44">
        <v>0</v>
      </c>
      <c r="AL289" s="44">
        <v>0</v>
      </c>
      <c r="AM289" s="44">
        <v>0</v>
      </c>
      <c r="AN289" s="44">
        <v>0</v>
      </c>
      <c r="AO289" s="44">
        <v>0</v>
      </c>
      <c r="AP289" s="44">
        <v>0</v>
      </c>
      <c r="AQ289" s="44">
        <v>0</v>
      </c>
      <c r="AR289" s="44">
        <v>0</v>
      </c>
      <c r="AS289" s="44">
        <v>0</v>
      </c>
      <c r="AT289" s="44">
        <v>1501291.0919999999</v>
      </c>
      <c r="AU289" s="44">
        <v>532981.05897559132</v>
      </c>
      <c r="AV289" s="44">
        <v>138243.54</v>
      </c>
      <c r="AW289" s="44">
        <v>363634.06845892454</v>
      </c>
      <c r="AX289" s="62">
        <v>2172515.6909755911</v>
      </c>
      <c r="AY289" s="62">
        <v>2172515.6909755911</v>
      </c>
      <c r="AZ289" s="62">
        <v>4610</v>
      </c>
      <c r="BA289" s="62">
        <v>1936200</v>
      </c>
      <c r="BB289" s="62">
        <v>0</v>
      </c>
      <c r="BC289" s="62">
        <v>0</v>
      </c>
      <c r="BD289" s="62">
        <v>2172515.6909755911</v>
      </c>
      <c r="BE289" s="44">
        <v>2172515.6909755911</v>
      </c>
      <c r="BF289" s="44">
        <v>0</v>
      </c>
      <c r="BG289" s="62">
        <v>1936200</v>
      </c>
      <c r="BH289" s="62">
        <v>1797956.46</v>
      </c>
      <c r="BI289" s="44">
        <v>2034272.150975591</v>
      </c>
      <c r="BJ289" s="44">
        <v>4843.5051213704546</v>
      </c>
      <c r="BK289" s="44">
        <v>4717.7835830548929</v>
      </c>
      <c r="BL289" s="45">
        <v>2.6648432701983669E-2</v>
      </c>
      <c r="BM289" s="45">
        <v>0</v>
      </c>
      <c r="BN289" s="44">
        <v>0</v>
      </c>
      <c r="BO289" s="62">
        <v>2172515.6909755911</v>
      </c>
      <c r="BP289" s="62">
        <v>5172.6564070847407</v>
      </c>
      <c r="BQ289" s="62" t="s">
        <v>92</v>
      </c>
      <c r="BR289" s="62">
        <v>5172.6564070847407</v>
      </c>
      <c r="BS289" s="53">
        <v>2.4750969482890461E-2</v>
      </c>
      <c r="BT289" s="44">
        <v>0</v>
      </c>
      <c r="BU289" s="44">
        <v>2172515.6909755911</v>
      </c>
      <c r="BV289" s="44">
        <v>0</v>
      </c>
      <c r="BW289" s="44">
        <v>2172515.6909755911</v>
      </c>
      <c r="BX289" s="44">
        <v>0</v>
      </c>
      <c r="BY289" s="44">
        <v>2172515.6909755911</v>
      </c>
    </row>
    <row r="290" spans="1:77">
      <c r="A290">
        <v>0</v>
      </c>
      <c r="B290" s="60">
        <v>148439</v>
      </c>
      <c r="C290" s="60">
        <v>3303325</v>
      </c>
      <c r="D290" s="61" t="s">
        <v>997</v>
      </c>
      <c r="E290" s="52">
        <v>375</v>
      </c>
      <c r="F290" s="52">
        <v>375</v>
      </c>
      <c r="G290" s="52">
        <v>0</v>
      </c>
      <c r="H290" s="44">
        <v>1340438.4749999999</v>
      </c>
      <c r="I290" s="44">
        <v>0</v>
      </c>
      <c r="J290" s="44">
        <v>0</v>
      </c>
      <c r="K290" s="44">
        <v>62448.427300000061</v>
      </c>
      <c r="L290" s="44">
        <v>0</v>
      </c>
      <c r="M290" s="44">
        <v>107797.0441999999</v>
      </c>
      <c r="N290" s="44">
        <v>0</v>
      </c>
      <c r="O290" s="44">
        <v>943.299200000003</v>
      </c>
      <c r="P290" s="44">
        <v>30030.031500000001</v>
      </c>
      <c r="Q290" s="44">
        <v>57606.485099999998</v>
      </c>
      <c r="R290" s="44">
        <v>51590.443800000059</v>
      </c>
      <c r="S290" s="44">
        <v>10852.9596</v>
      </c>
      <c r="T290" s="44">
        <v>682.3868000000009</v>
      </c>
      <c r="U290" s="44">
        <v>0</v>
      </c>
      <c r="V290" s="44">
        <v>0</v>
      </c>
      <c r="W290" s="44">
        <v>0</v>
      </c>
      <c r="X290" s="44">
        <v>0</v>
      </c>
      <c r="Y290" s="44">
        <v>0</v>
      </c>
      <c r="Z290" s="44">
        <v>0</v>
      </c>
      <c r="AA290" s="44">
        <v>48442.164545454514</v>
      </c>
      <c r="AB290" s="44">
        <v>0</v>
      </c>
      <c r="AC290" s="44">
        <v>168263.04086293984</v>
      </c>
      <c r="AD290" s="44">
        <v>0</v>
      </c>
      <c r="AE290" s="44">
        <v>481.68479999998959</v>
      </c>
      <c r="AF290" s="44">
        <v>0</v>
      </c>
      <c r="AG290" s="44">
        <v>138243.54</v>
      </c>
      <c r="AH290" s="44">
        <v>0</v>
      </c>
      <c r="AI290" s="44">
        <v>0</v>
      </c>
      <c r="AJ290" s="44">
        <v>0</v>
      </c>
      <c r="AK290" s="44">
        <v>6306.9578000000001</v>
      </c>
      <c r="AL290" s="44">
        <v>0</v>
      </c>
      <c r="AM290" s="44">
        <v>0</v>
      </c>
      <c r="AN290" s="44">
        <v>0</v>
      </c>
      <c r="AO290" s="44">
        <v>0</v>
      </c>
      <c r="AP290" s="44">
        <v>0</v>
      </c>
      <c r="AQ290" s="44">
        <v>0</v>
      </c>
      <c r="AR290" s="44">
        <v>0</v>
      </c>
      <c r="AS290" s="44">
        <v>0</v>
      </c>
      <c r="AT290" s="44">
        <v>1340438.4749999999</v>
      </c>
      <c r="AU290" s="44">
        <v>539137.9677083944</v>
      </c>
      <c r="AV290" s="44">
        <v>144550.49780000001</v>
      </c>
      <c r="AW290" s="44">
        <v>396260.50336293981</v>
      </c>
      <c r="AX290" s="62">
        <v>2024126.9405083943</v>
      </c>
      <c r="AY290" s="62">
        <v>2017819.9827083943</v>
      </c>
      <c r="AZ290" s="62">
        <v>4610</v>
      </c>
      <c r="BA290" s="62">
        <v>1728750</v>
      </c>
      <c r="BB290" s="62">
        <v>0</v>
      </c>
      <c r="BC290" s="62">
        <v>0</v>
      </c>
      <c r="BD290" s="62">
        <v>2024126.9405083943</v>
      </c>
      <c r="BE290" s="44">
        <v>2024126.940508394</v>
      </c>
      <c r="BF290" s="44">
        <v>0</v>
      </c>
      <c r="BG290" s="62">
        <v>1735056.9578</v>
      </c>
      <c r="BH290" s="62">
        <v>1590506.46</v>
      </c>
      <c r="BI290" s="44">
        <v>1879576.4427083943</v>
      </c>
      <c r="BJ290" s="44">
        <v>5012.2038472223849</v>
      </c>
      <c r="BK290" s="44">
        <v>5074.4782580901856</v>
      </c>
      <c r="BL290" s="45">
        <v>-1.2272081522571766E-2</v>
      </c>
      <c r="BM290" s="45">
        <v>1.7272081522571765E-2</v>
      </c>
      <c r="BN290" s="44">
        <v>32867.550809344364</v>
      </c>
      <c r="BO290" s="62">
        <v>2056994.4913177385</v>
      </c>
      <c r="BP290" s="62">
        <v>5468.5000893806364</v>
      </c>
      <c r="BQ290" s="62" t="s">
        <v>92</v>
      </c>
      <c r="BR290" s="62">
        <v>5485.3186435139696</v>
      </c>
      <c r="BS290" s="53">
        <v>8.1134441965440285E-3</v>
      </c>
      <c r="BT290" s="44">
        <v>0</v>
      </c>
      <c r="BU290" s="44">
        <v>2056994.4913177385</v>
      </c>
      <c r="BV290" s="44">
        <v>0</v>
      </c>
      <c r="BW290" s="44">
        <v>2056994.4913177385</v>
      </c>
      <c r="BX290" s="44">
        <v>6306.9578000000001</v>
      </c>
      <c r="BY290" s="44">
        <v>2050687.5335177386</v>
      </c>
    </row>
    <row r="291" spans="1:77">
      <c r="A291">
        <v>0</v>
      </c>
      <c r="B291" s="60">
        <v>141815</v>
      </c>
      <c r="C291" s="60">
        <v>3303330</v>
      </c>
      <c r="D291" s="61" t="s">
        <v>998</v>
      </c>
      <c r="E291" s="52">
        <v>415</v>
      </c>
      <c r="F291" s="52">
        <v>415</v>
      </c>
      <c r="G291" s="52">
        <v>0</v>
      </c>
      <c r="H291" s="44">
        <v>1483418.5789999999</v>
      </c>
      <c r="I291" s="44">
        <v>0</v>
      </c>
      <c r="J291" s="44">
        <v>0</v>
      </c>
      <c r="K291" s="44">
        <v>74741.424800000023</v>
      </c>
      <c r="L291" s="44">
        <v>0</v>
      </c>
      <c r="M291" s="44">
        <v>125900.36460000009</v>
      </c>
      <c r="N291" s="44">
        <v>0</v>
      </c>
      <c r="O291" s="44">
        <v>6131.4448000000048</v>
      </c>
      <c r="P291" s="44">
        <v>2860.0030000000029</v>
      </c>
      <c r="Q291" s="44">
        <v>7591.5522999999903</v>
      </c>
      <c r="R291" s="44">
        <v>11194.15289999999</v>
      </c>
      <c r="S291" s="44">
        <v>85273.253999999972</v>
      </c>
      <c r="T291" s="44">
        <v>40260.821199999948</v>
      </c>
      <c r="U291" s="44">
        <v>0</v>
      </c>
      <c r="V291" s="44">
        <v>0</v>
      </c>
      <c r="W291" s="44">
        <v>0</v>
      </c>
      <c r="X291" s="44">
        <v>0</v>
      </c>
      <c r="Y291" s="44">
        <v>0</v>
      </c>
      <c r="Z291" s="44">
        <v>0</v>
      </c>
      <c r="AA291" s="44">
        <v>29348.625584722118</v>
      </c>
      <c r="AB291" s="44">
        <v>0</v>
      </c>
      <c r="AC291" s="44">
        <v>172962.98148138577</v>
      </c>
      <c r="AD291" s="44">
        <v>0</v>
      </c>
      <c r="AE291" s="44">
        <v>0</v>
      </c>
      <c r="AF291" s="44">
        <v>0</v>
      </c>
      <c r="AG291" s="44">
        <v>138243.54</v>
      </c>
      <c r="AH291" s="44">
        <v>0</v>
      </c>
      <c r="AI291" s="44">
        <v>0</v>
      </c>
      <c r="AJ291" s="44">
        <v>0</v>
      </c>
      <c r="AK291" s="44">
        <v>0</v>
      </c>
      <c r="AL291" s="44">
        <v>0</v>
      </c>
      <c r="AM291" s="44">
        <v>0</v>
      </c>
      <c r="AN291" s="44">
        <v>0</v>
      </c>
      <c r="AO291" s="44">
        <v>0</v>
      </c>
      <c r="AP291" s="44">
        <v>0</v>
      </c>
      <c r="AQ291" s="44">
        <v>0</v>
      </c>
      <c r="AR291" s="44">
        <v>0</v>
      </c>
      <c r="AS291" s="44">
        <v>0</v>
      </c>
      <c r="AT291" s="44">
        <v>1483418.5789999999</v>
      </c>
      <c r="AU291" s="44">
        <v>556264.62466610793</v>
      </c>
      <c r="AV291" s="44">
        <v>138243.54</v>
      </c>
      <c r="AW291" s="44">
        <v>424110.41923138581</v>
      </c>
      <c r="AX291" s="62">
        <v>2177926.7436661078</v>
      </c>
      <c r="AY291" s="62">
        <v>2177926.7436661078</v>
      </c>
      <c r="AZ291" s="62">
        <v>4610</v>
      </c>
      <c r="BA291" s="62">
        <v>1913150</v>
      </c>
      <c r="BB291" s="62">
        <v>0</v>
      </c>
      <c r="BC291" s="62">
        <v>0</v>
      </c>
      <c r="BD291" s="62">
        <v>2177926.7436661078</v>
      </c>
      <c r="BE291" s="44">
        <v>2177926.7436661078</v>
      </c>
      <c r="BF291" s="44">
        <v>0</v>
      </c>
      <c r="BG291" s="62">
        <v>1913150</v>
      </c>
      <c r="BH291" s="62">
        <v>1774906.46</v>
      </c>
      <c r="BI291" s="44">
        <v>2039683.2036661077</v>
      </c>
      <c r="BJ291" s="44">
        <v>4914.8992859424279</v>
      </c>
      <c r="BK291" s="44">
        <v>4795.9318605769231</v>
      </c>
      <c r="BL291" s="45">
        <v>2.4805904008651559E-2</v>
      </c>
      <c r="BM291" s="45">
        <v>0</v>
      </c>
      <c r="BN291" s="44">
        <v>0</v>
      </c>
      <c r="BO291" s="62">
        <v>2177926.7436661078</v>
      </c>
      <c r="BP291" s="62">
        <v>5248.0162497978499</v>
      </c>
      <c r="BQ291" s="62" t="s">
        <v>92</v>
      </c>
      <c r="BR291" s="62">
        <v>5248.0162497978499</v>
      </c>
      <c r="BS291" s="53">
        <v>2.042571989312747E-2</v>
      </c>
      <c r="BT291" s="44">
        <v>0</v>
      </c>
      <c r="BU291" s="44">
        <v>2177926.7436661078</v>
      </c>
      <c r="BV291" s="44">
        <v>0</v>
      </c>
      <c r="BW291" s="44">
        <v>2177926.7436661078</v>
      </c>
      <c r="BX291" s="44">
        <v>0</v>
      </c>
      <c r="BY291" s="44">
        <v>2177926.7436661078</v>
      </c>
    </row>
    <row r="292" spans="1:77">
      <c r="A292">
        <v>0</v>
      </c>
      <c r="B292" s="60">
        <v>148440</v>
      </c>
      <c r="C292" s="60">
        <v>3303337</v>
      </c>
      <c r="D292" s="61" t="s">
        <v>999</v>
      </c>
      <c r="E292" s="52">
        <v>205</v>
      </c>
      <c r="F292" s="52">
        <v>205</v>
      </c>
      <c r="G292" s="52">
        <v>0</v>
      </c>
      <c r="H292" s="44">
        <v>732773.03299999994</v>
      </c>
      <c r="I292" s="44">
        <v>0</v>
      </c>
      <c r="J292" s="44">
        <v>0</v>
      </c>
      <c r="K292" s="44">
        <v>82608.943199999965</v>
      </c>
      <c r="L292" s="44">
        <v>0</v>
      </c>
      <c r="M292" s="44">
        <v>139889.29400000002</v>
      </c>
      <c r="N292" s="44">
        <v>0</v>
      </c>
      <c r="O292" s="44">
        <v>707.47439999999926</v>
      </c>
      <c r="P292" s="44">
        <v>858.00089999999909</v>
      </c>
      <c r="Q292" s="44">
        <v>893.12379999999996</v>
      </c>
      <c r="R292" s="44">
        <v>9247.3437000000013</v>
      </c>
      <c r="S292" s="44">
        <v>24289.957200000019</v>
      </c>
      <c r="T292" s="44">
        <v>85980.736799999926</v>
      </c>
      <c r="U292" s="44">
        <v>0</v>
      </c>
      <c r="V292" s="44">
        <v>0</v>
      </c>
      <c r="W292" s="44">
        <v>0</v>
      </c>
      <c r="X292" s="44">
        <v>0</v>
      </c>
      <c r="Y292" s="44">
        <v>0</v>
      </c>
      <c r="Z292" s="44">
        <v>0</v>
      </c>
      <c r="AA292" s="44">
        <v>46237.917904761911</v>
      </c>
      <c r="AB292" s="44">
        <v>0</v>
      </c>
      <c r="AC292" s="44">
        <v>79885.705494012</v>
      </c>
      <c r="AD292" s="44">
        <v>0</v>
      </c>
      <c r="AE292" s="44">
        <v>0</v>
      </c>
      <c r="AF292" s="44">
        <v>0</v>
      </c>
      <c r="AG292" s="44">
        <v>138243.54</v>
      </c>
      <c r="AH292" s="44">
        <v>0</v>
      </c>
      <c r="AI292" s="44">
        <v>0</v>
      </c>
      <c r="AJ292" s="44">
        <v>0</v>
      </c>
      <c r="AK292" s="44">
        <v>0</v>
      </c>
      <c r="AL292" s="44">
        <v>0</v>
      </c>
      <c r="AM292" s="44">
        <v>0</v>
      </c>
      <c r="AN292" s="44">
        <v>0</v>
      </c>
      <c r="AO292" s="44">
        <v>0</v>
      </c>
      <c r="AP292" s="44">
        <v>0</v>
      </c>
      <c r="AQ292" s="44">
        <v>0</v>
      </c>
      <c r="AR292" s="44">
        <v>0</v>
      </c>
      <c r="AS292" s="44">
        <v>0</v>
      </c>
      <c r="AT292" s="44">
        <v>732773.03299999994</v>
      </c>
      <c r="AU292" s="44">
        <v>470598.49739877385</v>
      </c>
      <c r="AV292" s="44">
        <v>138243.54</v>
      </c>
      <c r="AW292" s="44">
        <v>288761.79414401198</v>
      </c>
      <c r="AX292" s="62">
        <v>1341615.0703987738</v>
      </c>
      <c r="AY292" s="62">
        <v>1341615.0703987738</v>
      </c>
      <c r="AZ292" s="62">
        <v>4610</v>
      </c>
      <c r="BA292" s="62">
        <v>945050</v>
      </c>
      <c r="BB292" s="62">
        <v>0</v>
      </c>
      <c r="BC292" s="62">
        <v>0</v>
      </c>
      <c r="BD292" s="62">
        <v>1341615.0703987738</v>
      </c>
      <c r="BE292" s="44">
        <v>1341615.0703987735</v>
      </c>
      <c r="BF292" s="44">
        <v>0</v>
      </c>
      <c r="BG292" s="62">
        <v>945050</v>
      </c>
      <c r="BH292" s="62">
        <v>806806.46</v>
      </c>
      <c r="BI292" s="44">
        <v>1203371.5303987737</v>
      </c>
      <c r="BJ292" s="44">
        <v>5870.1050263354819</v>
      </c>
      <c r="BK292" s="44">
        <v>5697.0639682926831</v>
      </c>
      <c r="BL292" s="45">
        <v>3.0373725660422304E-2</v>
      </c>
      <c r="BM292" s="45">
        <v>0</v>
      </c>
      <c r="BN292" s="44">
        <v>0</v>
      </c>
      <c r="BO292" s="62">
        <v>1341615.0703987738</v>
      </c>
      <c r="BP292" s="62">
        <v>6544.4637580427989</v>
      </c>
      <c r="BQ292" s="62" t="s">
        <v>92</v>
      </c>
      <c r="BR292" s="62">
        <v>6544.4637580427989</v>
      </c>
      <c r="BS292" s="53">
        <v>2.7158935482776592E-2</v>
      </c>
      <c r="BT292" s="44">
        <v>0</v>
      </c>
      <c r="BU292" s="44">
        <v>1341615.0703987738</v>
      </c>
      <c r="BV292" s="44">
        <v>0</v>
      </c>
      <c r="BW292" s="44">
        <v>1341615.0703987738</v>
      </c>
      <c r="BX292" s="44">
        <v>0</v>
      </c>
      <c r="BY292" s="44">
        <v>1341615.0703987738</v>
      </c>
    </row>
    <row r="293" spans="1:77">
      <c r="A293">
        <v>0</v>
      </c>
      <c r="B293" s="60">
        <v>148441</v>
      </c>
      <c r="C293" s="60">
        <v>3303339</v>
      </c>
      <c r="D293" s="61" t="s">
        <v>933</v>
      </c>
      <c r="E293" s="52">
        <v>192</v>
      </c>
      <c r="F293" s="52">
        <v>192</v>
      </c>
      <c r="G293" s="52">
        <v>0</v>
      </c>
      <c r="H293" s="44">
        <v>686304.49919999996</v>
      </c>
      <c r="I293" s="44">
        <v>0</v>
      </c>
      <c r="J293" s="44">
        <v>0</v>
      </c>
      <c r="K293" s="44">
        <v>60973.26759999997</v>
      </c>
      <c r="L293" s="44">
        <v>0</v>
      </c>
      <c r="M293" s="44">
        <v>104505.53139999995</v>
      </c>
      <c r="N293" s="44">
        <v>0</v>
      </c>
      <c r="O293" s="44">
        <v>471.64960000000161</v>
      </c>
      <c r="P293" s="44">
        <v>1144.0011999999981</v>
      </c>
      <c r="Q293" s="44">
        <v>1339.6857</v>
      </c>
      <c r="R293" s="44">
        <v>23361.7104</v>
      </c>
      <c r="S293" s="44">
        <v>67701.795600000027</v>
      </c>
      <c r="T293" s="44">
        <v>1364.7736000000045</v>
      </c>
      <c r="U293" s="44">
        <v>0</v>
      </c>
      <c r="V293" s="44">
        <v>0</v>
      </c>
      <c r="W293" s="44">
        <v>0</v>
      </c>
      <c r="X293" s="44">
        <v>0</v>
      </c>
      <c r="Y293" s="44">
        <v>0</v>
      </c>
      <c r="Z293" s="44">
        <v>0</v>
      </c>
      <c r="AA293" s="44">
        <v>45079.053351724135</v>
      </c>
      <c r="AB293" s="44">
        <v>0</v>
      </c>
      <c r="AC293" s="44">
        <v>82619.540265599993</v>
      </c>
      <c r="AD293" s="44">
        <v>0</v>
      </c>
      <c r="AE293" s="44">
        <v>0</v>
      </c>
      <c r="AF293" s="44">
        <v>0</v>
      </c>
      <c r="AG293" s="44">
        <v>138243.54</v>
      </c>
      <c r="AH293" s="44">
        <v>0</v>
      </c>
      <c r="AI293" s="44">
        <v>0</v>
      </c>
      <c r="AJ293" s="44">
        <v>0</v>
      </c>
      <c r="AK293" s="44">
        <v>0</v>
      </c>
      <c r="AL293" s="44">
        <v>0</v>
      </c>
      <c r="AM293" s="44">
        <v>0</v>
      </c>
      <c r="AN293" s="44">
        <v>0</v>
      </c>
      <c r="AO293" s="44">
        <v>0</v>
      </c>
      <c r="AP293" s="44">
        <v>0</v>
      </c>
      <c r="AQ293" s="44">
        <v>0</v>
      </c>
      <c r="AR293" s="44">
        <v>0</v>
      </c>
      <c r="AS293" s="44">
        <v>0</v>
      </c>
      <c r="AT293" s="44">
        <v>686304.49919999996</v>
      </c>
      <c r="AU293" s="44">
        <v>388561.00871732412</v>
      </c>
      <c r="AV293" s="44">
        <v>138243.54</v>
      </c>
      <c r="AW293" s="44">
        <v>247365.97277559998</v>
      </c>
      <c r="AX293" s="62">
        <v>1213109.0479173241</v>
      </c>
      <c r="AY293" s="62">
        <v>1213109.0479173241</v>
      </c>
      <c r="AZ293" s="62">
        <v>4610</v>
      </c>
      <c r="BA293" s="62">
        <v>885120</v>
      </c>
      <c r="BB293" s="62">
        <v>0</v>
      </c>
      <c r="BC293" s="62">
        <v>0</v>
      </c>
      <c r="BD293" s="62">
        <v>1213109.0479173241</v>
      </c>
      <c r="BE293" s="44">
        <v>1213109.0479173241</v>
      </c>
      <c r="BF293" s="44">
        <v>0</v>
      </c>
      <c r="BG293" s="62">
        <v>885120</v>
      </c>
      <c r="BH293" s="62">
        <v>746876.46</v>
      </c>
      <c r="BI293" s="44">
        <v>1074865.5079173241</v>
      </c>
      <c r="BJ293" s="44">
        <v>5598.2578537360632</v>
      </c>
      <c r="BK293" s="44">
        <v>5524.4743562189051</v>
      </c>
      <c r="BL293" s="45">
        <v>1.3355749843258843E-2</v>
      </c>
      <c r="BM293" s="45">
        <v>0</v>
      </c>
      <c r="BN293" s="44">
        <v>0</v>
      </c>
      <c r="BO293" s="62">
        <v>1213109.0479173241</v>
      </c>
      <c r="BP293" s="62">
        <v>6318.2762912360631</v>
      </c>
      <c r="BQ293" s="62" t="s">
        <v>92</v>
      </c>
      <c r="BR293" s="62">
        <v>6318.2762912360631</v>
      </c>
      <c r="BS293" s="53">
        <v>1.7066775335609297E-2</v>
      </c>
      <c r="BT293" s="44">
        <v>0</v>
      </c>
      <c r="BU293" s="44">
        <v>1213109.0479173241</v>
      </c>
      <c r="BV293" s="44">
        <v>0</v>
      </c>
      <c r="BW293" s="44">
        <v>1213109.0479173241</v>
      </c>
      <c r="BX293" s="44">
        <v>0</v>
      </c>
      <c r="BY293" s="44">
        <v>1213109.0479173241</v>
      </c>
    </row>
    <row r="294" spans="1:77">
      <c r="A294">
        <v>0</v>
      </c>
      <c r="B294" s="60">
        <v>148082</v>
      </c>
      <c r="C294" s="60">
        <v>3303357</v>
      </c>
      <c r="D294" s="61" t="s">
        <v>1000</v>
      </c>
      <c r="E294" s="52">
        <v>209</v>
      </c>
      <c r="F294" s="52">
        <v>209</v>
      </c>
      <c r="G294" s="52">
        <v>0</v>
      </c>
      <c r="H294" s="44">
        <v>747071.04339999997</v>
      </c>
      <c r="I294" s="44">
        <v>0</v>
      </c>
      <c r="J294" s="44">
        <v>0</v>
      </c>
      <c r="K294" s="44">
        <v>49663.709899999958</v>
      </c>
      <c r="L294" s="44">
        <v>0</v>
      </c>
      <c r="M294" s="44">
        <v>85579.332799999946</v>
      </c>
      <c r="N294" s="44">
        <v>0</v>
      </c>
      <c r="O294" s="44">
        <v>2358.2479999999996</v>
      </c>
      <c r="P294" s="44">
        <v>2574.0027</v>
      </c>
      <c r="Q294" s="44">
        <v>15183.104600000041</v>
      </c>
      <c r="R294" s="44">
        <v>6813.8322000000044</v>
      </c>
      <c r="S294" s="44">
        <v>56332.028400000003</v>
      </c>
      <c r="T294" s="44">
        <v>15694.896399999978</v>
      </c>
      <c r="U294" s="44">
        <v>0</v>
      </c>
      <c r="V294" s="44">
        <v>0</v>
      </c>
      <c r="W294" s="44">
        <v>0</v>
      </c>
      <c r="X294" s="44">
        <v>0</v>
      </c>
      <c r="Y294" s="44">
        <v>0</v>
      </c>
      <c r="Z294" s="44">
        <v>0</v>
      </c>
      <c r="AA294" s="44">
        <v>17973.817154189986</v>
      </c>
      <c r="AB294" s="44">
        <v>0</v>
      </c>
      <c r="AC294" s="44">
        <v>80337.744867025889</v>
      </c>
      <c r="AD294" s="44">
        <v>0</v>
      </c>
      <c r="AE294" s="44">
        <v>0</v>
      </c>
      <c r="AF294" s="44">
        <v>0</v>
      </c>
      <c r="AG294" s="44">
        <v>138243.54</v>
      </c>
      <c r="AH294" s="44">
        <v>0</v>
      </c>
      <c r="AI294" s="44">
        <v>0</v>
      </c>
      <c r="AJ294" s="44">
        <v>0</v>
      </c>
      <c r="AK294" s="44">
        <v>2676.4859000000001</v>
      </c>
      <c r="AL294" s="44">
        <v>0</v>
      </c>
      <c r="AM294" s="44">
        <v>0</v>
      </c>
      <c r="AN294" s="44">
        <v>0</v>
      </c>
      <c r="AO294" s="44">
        <v>0</v>
      </c>
      <c r="AP294" s="44">
        <v>0</v>
      </c>
      <c r="AQ294" s="44">
        <v>0</v>
      </c>
      <c r="AR294" s="44">
        <v>0</v>
      </c>
      <c r="AS294" s="44">
        <v>0</v>
      </c>
      <c r="AT294" s="44">
        <v>747071.04339999997</v>
      </c>
      <c r="AU294" s="44">
        <v>332510.71702121582</v>
      </c>
      <c r="AV294" s="44">
        <v>140920.02590000001</v>
      </c>
      <c r="AW294" s="44">
        <v>234790.87453702587</v>
      </c>
      <c r="AX294" s="62">
        <v>1220501.7863212158</v>
      </c>
      <c r="AY294" s="62">
        <v>1217825.3004212158</v>
      </c>
      <c r="AZ294" s="62">
        <v>4610</v>
      </c>
      <c r="BA294" s="62">
        <v>963490</v>
      </c>
      <c r="BB294" s="62">
        <v>0</v>
      </c>
      <c r="BC294" s="62">
        <v>0</v>
      </c>
      <c r="BD294" s="62">
        <v>1220501.7863212158</v>
      </c>
      <c r="BE294" s="44">
        <v>1220501.7863212158</v>
      </c>
      <c r="BF294" s="44">
        <v>0</v>
      </c>
      <c r="BG294" s="62">
        <v>966166.48589999997</v>
      </c>
      <c r="BH294" s="62">
        <v>825246.46</v>
      </c>
      <c r="BI294" s="44">
        <v>1079581.7604212158</v>
      </c>
      <c r="BJ294" s="44">
        <v>5165.4629685225636</v>
      </c>
      <c r="BK294" s="44">
        <v>5053.1204062200959</v>
      </c>
      <c r="BL294" s="45">
        <v>2.2232314544529872E-2</v>
      </c>
      <c r="BM294" s="45">
        <v>0</v>
      </c>
      <c r="BN294" s="44">
        <v>0</v>
      </c>
      <c r="BO294" s="62">
        <v>1220501.7863212158</v>
      </c>
      <c r="BP294" s="62">
        <v>5826.9153130201712</v>
      </c>
      <c r="BQ294" s="62" t="s">
        <v>92</v>
      </c>
      <c r="BR294" s="62">
        <v>5839.7214656517499</v>
      </c>
      <c r="BS294" s="53">
        <v>2.1899925050097302E-2</v>
      </c>
      <c r="BT294" s="44">
        <v>0</v>
      </c>
      <c r="BU294" s="44">
        <v>1220501.7863212158</v>
      </c>
      <c r="BV294" s="44">
        <v>0</v>
      </c>
      <c r="BW294" s="44">
        <v>1220501.7863212158</v>
      </c>
      <c r="BX294" s="44">
        <v>2676.4859000000001</v>
      </c>
      <c r="BY294" s="44">
        <v>1217825.3004212158</v>
      </c>
    </row>
    <row r="295" spans="1:77">
      <c r="A295">
        <v>0</v>
      </c>
      <c r="B295" s="60">
        <v>141820</v>
      </c>
      <c r="C295" s="60">
        <v>3303358</v>
      </c>
      <c r="D295" s="61" t="s">
        <v>1001</v>
      </c>
      <c r="E295" s="52">
        <v>208</v>
      </c>
      <c r="F295" s="52">
        <v>208</v>
      </c>
      <c r="G295" s="52">
        <v>0</v>
      </c>
      <c r="H295" s="44">
        <v>743496.54079999996</v>
      </c>
      <c r="I295" s="44">
        <v>0</v>
      </c>
      <c r="J295" s="44">
        <v>0</v>
      </c>
      <c r="K295" s="44">
        <v>20652.235800000009</v>
      </c>
      <c r="L295" s="44">
        <v>0</v>
      </c>
      <c r="M295" s="44">
        <v>34560.884400000017</v>
      </c>
      <c r="N295" s="44">
        <v>0</v>
      </c>
      <c r="O295" s="44">
        <v>6367.269599999986</v>
      </c>
      <c r="P295" s="44">
        <v>7150.0075000000179</v>
      </c>
      <c r="Q295" s="44">
        <v>1339.6856999999977</v>
      </c>
      <c r="R295" s="44">
        <v>25308.5196</v>
      </c>
      <c r="S295" s="44">
        <v>11886.574799999993</v>
      </c>
      <c r="T295" s="44">
        <v>7506.2548000000024</v>
      </c>
      <c r="U295" s="44">
        <v>0</v>
      </c>
      <c r="V295" s="44">
        <v>0</v>
      </c>
      <c r="W295" s="44">
        <v>0</v>
      </c>
      <c r="X295" s="44">
        <v>0</v>
      </c>
      <c r="Y295" s="44">
        <v>0</v>
      </c>
      <c r="Z295" s="44">
        <v>0</v>
      </c>
      <c r="AA295" s="44">
        <v>1375.9860022346372</v>
      </c>
      <c r="AB295" s="44">
        <v>0</v>
      </c>
      <c r="AC295" s="44">
        <v>55937.329260335202</v>
      </c>
      <c r="AD295" s="44">
        <v>0</v>
      </c>
      <c r="AE295" s="44">
        <v>0</v>
      </c>
      <c r="AF295" s="44">
        <v>0</v>
      </c>
      <c r="AG295" s="44">
        <v>138243.54</v>
      </c>
      <c r="AH295" s="44">
        <v>0</v>
      </c>
      <c r="AI295" s="44">
        <v>0</v>
      </c>
      <c r="AJ295" s="44">
        <v>0</v>
      </c>
      <c r="AK295" s="44">
        <v>0</v>
      </c>
      <c r="AL295" s="44">
        <v>0</v>
      </c>
      <c r="AM295" s="44">
        <v>0</v>
      </c>
      <c r="AN295" s="44">
        <v>0</v>
      </c>
      <c r="AO295" s="44">
        <v>0</v>
      </c>
      <c r="AP295" s="44">
        <v>0</v>
      </c>
      <c r="AQ295" s="44">
        <v>0</v>
      </c>
      <c r="AR295" s="44">
        <v>0</v>
      </c>
      <c r="AS295" s="44">
        <v>0</v>
      </c>
      <c r="AT295" s="44">
        <v>743496.54079999996</v>
      </c>
      <c r="AU295" s="44">
        <v>172084.74746256985</v>
      </c>
      <c r="AV295" s="44">
        <v>138243.54</v>
      </c>
      <c r="AW295" s="44">
        <v>150497.87240033521</v>
      </c>
      <c r="AX295" s="62">
        <v>1053824.8282625698</v>
      </c>
      <c r="AY295" s="62">
        <v>1053824.8282625698</v>
      </c>
      <c r="AZ295" s="62">
        <v>4610</v>
      </c>
      <c r="BA295" s="62">
        <v>958880</v>
      </c>
      <c r="BB295" s="62">
        <v>0</v>
      </c>
      <c r="BC295" s="62">
        <v>0</v>
      </c>
      <c r="BD295" s="62">
        <v>1053824.8282625698</v>
      </c>
      <c r="BE295" s="44">
        <v>1053824.8282625698</v>
      </c>
      <c r="BF295" s="44">
        <v>0</v>
      </c>
      <c r="BG295" s="62">
        <v>958880</v>
      </c>
      <c r="BH295" s="62">
        <v>820636.46</v>
      </c>
      <c r="BI295" s="44">
        <v>915581.28826256981</v>
      </c>
      <c r="BJ295" s="44">
        <v>4401.8331166469707</v>
      </c>
      <c r="BK295" s="44">
        <v>4423.6456205741624</v>
      </c>
      <c r="BL295" s="45">
        <v>-4.9308886375849939E-3</v>
      </c>
      <c r="BM295" s="45">
        <v>9.930888637584994E-3</v>
      </c>
      <c r="BN295" s="44">
        <v>9137.5922622530143</v>
      </c>
      <c r="BO295" s="62">
        <v>1062962.4205248228</v>
      </c>
      <c r="BP295" s="62">
        <v>5110.3962525231864</v>
      </c>
      <c r="BQ295" s="62" t="s">
        <v>92</v>
      </c>
      <c r="BR295" s="62">
        <v>5110.3962525231864</v>
      </c>
      <c r="BS295" s="53">
        <v>2.5237961762933914E-3</v>
      </c>
      <c r="BT295" s="44">
        <v>0</v>
      </c>
      <c r="BU295" s="44">
        <v>1062962.4205248228</v>
      </c>
      <c r="BV295" s="44">
        <v>0</v>
      </c>
      <c r="BW295" s="44">
        <v>1062962.4205248228</v>
      </c>
      <c r="BX295" s="44">
        <v>0</v>
      </c>
      <c r="BY295" s="44">
        <v>1062962.4205248228</v>
      </c>
    </row>
    <row r="296" spans="1:77">
      <c r="A296">
        <v>0</v>
      </c>
      <c r="B296" s="60">
        <v>148083</v>
      </c>
      <c r="C296" s="60">
        <v>3303359</v>
      </c>
      <c r="D296" s="61" t="s">
        <v>1002</v>
      </c>
      <c r="E296" s="52">
        <v>312</v>
      </c>
      <c r="F296" s="52">
        <v>312</v>
      </c>
      <c r="G296" s="52">
        <v>0</v>
      </c>
      <c r="H296" s="44">
        <v>1115244.8111999999</v>
      </c>
      <c r="I296" s="44">
        <v>0</v>
      </c>
      <c r="J296" s="44">
        <v>0</v>
      </c>
      <c r="K296" s="44">
        <v>78183.464100000056</v>
      </c>
      <c r="L296" s="44">
        <v>0</v>
      </c>
      <c r="M296" s="44">
        <v>133306.26839999994</v>
      </c>
      <c r="N296" s="44">
        <v>0</v>
      </c>
      <c r="O296" s="44">
        <v>2594.0728000000031</v>
      </c>
      <c r="P296" s="44">
        <v>8008.0083999999952</v>
      </c>
      <c r="Q296" s="44">
        <v>3125.9332999999951</v>
      </c>
      <c r="R296" s="44">
        <v>36015.970199999974</v>
      </c>
      <c r="S296" s="44">
        <v>32042.071200000046</v>
      </c>
      <c r="T296" s="44">
        <v>66191.519600000029</v>
      </c>
      <c r="U296" s="44">
        <v>0</v>
      </c>
      <c r="V296" s="44">
        <v>0</v>
      </c>
      <c r="W296" s="44">
        <v>0</v>
      </c>
      <c r="X296" s="44">
        <v>0</v>
      </c>
      <c r="Y296" s="44">
        <v>0</v>
      </c>
      <c r="Z296" s="44">
        <v>0</v>
      </c>
      <c r="AA296" s="44">
        <v>61348.158199261932</v>
      </c>
      <c r="AB296" s="44">
        <v>0</v>
      </c>
      <c r="AC296" s="44">
        <v>158281.03785951217</v>
      </c>
      <c r="AD296" s="44">
        <v>0</v>
      </c>
      <c r="AE296" s="44">
        <v>6049.96108799999</v>
      </c>
      <c r="AF296" s="44">
        <v>0</v>
      </c>
      <c r="AG296" s="44">
        <v>138243.54</v>
      </c>
      <c r="AH296" s="44">
        <v>0</v>
      </c>
      <c r="AI296" s="44">
        <v>0</v>
      </c>
      <c r="AJ296" s="44">
        <v>0</v>
      </c>
      <c r="AK296" s="44">
        <v>0</v>
      </c>
      <c r="AL296" s="44">
        <v>0</v>
      </c>
      <c r="AM296" s="44">
        <v>0</v>
      </c>
      <c r="AN296" s="44">
        <v>0</v>
      </c>
      <c r="AO296" s="44">
        <v>0</v>
      </c>
      <c r="AP296" s="44">
        <v>0</v>
      </c>
      <c r="AQ296" s="44">
        <v>0</v>
      </c>
      <c r="AR296" s="44">
        <v>0</v>
      </c>
      <c r="AS296" s="44">
        <v>0</v>
      </c>
      <c r="AT296" s="44">
        <v>1115244.8111999999</v>
      </c>
      <c r="AU296" s="44">
        <v>585146.46514677419</v>
      </c>
      <c r="AV296" s="44">
        <v>138243.54</v>
      </c>
      <c r="AW296" s="44">
        <v>393776.93241951219</v>
      </c>
      <c r="AX296" s="62">
        <v>1838634.8163467741</v>
      </c>
      <c r="AY296" s="62">
        <v>1838634.8163467741</v>
      </c>
      <c r="AZ296" s="62">
        <v>4610</v>
      </c>
      <c r="BA296" s="62">
        <v>1438320</v>
      </c>
      <c r="BB296" s="62">
        <v>0</v>
      </c>
      <c r="BC296" s="62">
        <v>0</v>
      </c>
      <c r="BD296" s="62">
        <v>1838634.8163467741</v>
      </c>
      <c r="BE296" s="44">
        <v>1838634.8163467739</v>
      </c>
      <c r="BF296" s="44">
        <v>0</v>
      </c>
      <c r="BG296" s="62">
        <v>1438320</v>
      </c>
      <c r="BH296" s="62">
        <v>1300076.46</v>
      </c>
      <c r="BI296" s="44">
        <v>1700391.2763467741</v>
      </c>
      <c r="BJ296" s="44">
        <v>5449.9720395729937</v>
      </c>
      <c r="BK296" s="44">
        <v>5251.722166167664</v>
      </c>
      <c r="BL296" s="45">
        <v>3.7749497618606596E-2</v>
      </c>
      <c r="BM296" s="45">
        <v>0</v>
      </c>
      <c r="BN296" s="44">
        <v>0</v>
      </c>
      <c r="BO296" s="62">
        <v>1838634.8163467741</v>
      </c>
      <c r="BP296" s="62">
        <v>5893.0603088037633</v>
      </c>
      <c r="BQ296" s="62" t="s">
        <v>92</v>
      </c>
      <c r="BR296" s="62">
        <v>5893.0603088037633</v>
      </c>
      <c r="BS296" s="53">
        <v>4.014302553488247E-2</v>
      </c>
      <c r="BT296" s="44">
        <v>0</v>
      </c>
      <c r="BU296" s="44">
        <v>1838634.8163467741</v>
      </c>
      <c r="BV296" s="44">
        <v>0</v>
      </c>
      <c r="BW296" s="44">
        <v>1838634.8163467741</v>
      </c>
      <c r="BX296" s="44">
        <v>0</v>
      </c>
      <c r="BY296" s="44">
        <v>1838634.8163467741</v>
      </c>
    </row>
    <row r="297" spans="1:77">
      <c r="A297">
        <v>0</v>
      </c>
      <c r="B297" s="60">
        <v>148266</v>
      </c>
      <c r="C297" s="60">
        <v>3303360</v>
      </c>
      <c r="D297" s="61" t="s">
        <v>1003</v>
      </c>
      <c r="E297" s="52">
        <v>210</v>
      </c>
      <c r="F297" s="52">
        <v>210</v>
      </c>
      <c r="G297" s="52">
        <v>0</v>
      </c>
      <c r="H297" s="44">
        <v>750645.54599999997</v>
      </c>
      <c r="I297" s="44">
        <v>0</v>
      </c>
      <c r="J297" s="44">
        <v>0</v>
      </c>
      <c r="K297" s="44">
        <v>26552.874599999985</v>
      </c>
      <c r="L297" s="44">
        <v>0</v>
      </c>
      <c r="M297" s="44">
        <v>46081.179200000057</v>
      </c>
      <c r="N297" s="44">
        <v>0</v>
      </c>
      <c r="O297" s="44">
        <v>707.47440000000063</v>
      </c>
      <c r="P297" s="44">
        <v>1716.0018000000014</v>
      </c>
      <c r="Q297" s="44">
        <v>7144.9903999999997</v>
      </c>
      <c r="R297" s="44">
        <v>21901.603499999968</v>
      </c>
      <c r="S297" s="44">
        <v>19121.881199999982</v>
      </c>
      <c r="T297" s="44">
        <v>8871.0283999999992</v>
      </c>
      <c r="U297" s="44">
        <v>0</v>
      </c>
      <c r="V297" s="44">
        <v>0</v>
      </c>
      <c r="W297" s="44">
        <v>0</v>
      </c>
      <c r="X297" s="44">
        <v>0</v>
      </c>
      <c r="Y297" s="44">
        <v>0</v>
      </c>
      <c r="Z297" s="44">
        <v>0</v>
      </c>
      <c r="AA297" s="44">
        <v>6946.0831843575434</v>
      </c>
      <c r="AB297" s="44">
        <v>0</v>
      </c>
      <c r="AC297" s="44">
        <v>66407.340795755998</v>
      </c>
      <c r="AD297" s="44">
        <v>0</v>
      </c>
      <c r="AE297" s="44">
        <v>0</v>
      </c>
      <c r="AF297" s="44">
        <v>0</v>
      </c>
      <c r="AG297" s="44">
        <v>138243.54</v>
      </c>
      <c r="AH297" s="44">
        <v>0</v>
      </c>
      <c r="AI297" s="44">
        <v>0</v>
      </c>
      <c r="AJ297" s="44">
        <v>0</v>
      </c>
      <c r="AK297" s="44">
        <v>3100.4854</v>
      </c>
      <c r="AL297" s="44">
        <v>0</v>
      </c>
      <c r="AM297" s="44">
        <v>0</v>
      </c>
      <c r="AN297" s="44">
        <v>0</v>
      </c>
      <c r="AO297" s="44">
        <v>0</v>
      </c>
      <c r="AP297" s="44">
        <v>0</v>
      </c>
      <c r="AQ297" s="44">
        <v>0</v>
      </c>
      <c r="AR297" s="44">
        <v>0</v>
      </c>
      <c r="AS297" s="44">
        <v>0</v>
      </c>
      <c r="AT297" s="44">
        <v>750645.54599999997</v>
      </c>
      <c r="AU297" s="44">
        <v>205450.45748011352</v>
      </c>
      <c r="AV297" s="44">
        <v>141344.02540000001</v>
      </c>
      <c r="AW297" s="44">
        <v>169988.13484575599</v>
      </c>
      <c r="AX297" s="62">
        <v>1097440.0288801135</v>
      </c>
      <c r="AY297" s="62">
        <v>1094339.5434801136</v>
      </c>
      <c r="AZ297" s="62">
        <v>4610</v>
      </c>
      <c r="BA297" s="62">
        <v>968100</v>
      </c>
      <c r="BB297" s="62">
        <v>0</v>
      </c>
      <c r="BC297" s="62">
        <v>0</v>
      </c>
      <c r="BD297" s="62">
        <v>1097440.0288801135</v>
      </c>
      <c r="BE297" s="44">
        <v>1097440.0288801133</v>
      </c>
      <c r="BF297" s="44">
        <v>0</v>
      </c>
      <c r="BG297" s="62">
        <v>971200.48540000001</v>
      </c>
      <c r="BH297" s="62">
        <v>829856.46</v>
      </c>
      <c r="BI297" s="44">
        <v>956096.00348011346</v>
      </c>
      <c r="BJ297" s="44">
        <v>4552.8381118100642</v>
      </c>
      <c r="BK297" s="44">
        <v>4485.3711913875595</v>
      </c>
      <c r="BL297" s="45">
        <v>1.5041546740222777E-2</v>
      </c>
      <c r="BM297" s="45">
        <v>0</v>
      </c>
      <c r="BN297" s="44">
        <v>0</v>
      </c>
      <c r="BO297" s="62">
        <v>1097440.0288801135</v>
      </c>
      <c r="BP297" s="62">
        <v>5211.1406832386365</v>
      </c>
      <c r="BQ297" s="62" t="s">
        <v>92</v>
      </c>
      <c r="BR297" s="62">
        <v>5225.9048994291115</v>
      </c>
      <c r="BS297" s="53">
        <v>1.5365081587228602E-2</v>
      </c>
      <c r="BT297" s="44">
        <v>0</v>
      </c>
      <c r="BU297" s="44">
        <v>1097440.0288801135</v>
      </c>
      <c r="BV297" s="44">
        <v>0</v>
      </c>
      <c r="BW297" s="44">
        <v>1097440.0288801135</v>
      </c>
      <c r="BX297" s="44">
        <v>3100.4854</v>
      </c>
      <c r="BY297" s="44">
        <v>1094339.5434801136</v>
      </c>
    </row>
    <row r="298" spans="1:77">
      <c r="A298">
        <v>0</v>
      </c>
      <c r="B298" s="60">
        <v>146298</v>
      </c>
      <c r="C298" s="60">
        <v>3303362</v>
      </c>
      <c r="D298" s="61" t="s">
        <v>1004</v>
      </c>
      <c r="E298" s="52">
        <v>210</v>
      </c>
      <c r="F298" s="52">
        <v>210</v>
      </c>
      <c r="G298" s="52">
        <v>0</v>
      </c>
      <c r="H298" s="44">
        <v>750645.54599999997</v>
      </c>
      <c r="I298" s="44">
        <v>0</v>
      </c>
      <c r="J298" s="44">
        <v>0</v>
      </c>
      <c r="K298" s="44">
        <v>19668.795999999951</v>
      </c>
      <c r="L298" s="44">
        <v>0</v>
      </c>
      <c r="M298" s="44">
        <v>32915.127999999917</v>
      </c>
      <c r="N298" s="44">
        <v>0</v>
      </c>
      <c r="O298" s="44">
        <v>16036.086400000011</v>
      </c>
      <c r="P298" s="44">
        <v>4290.0044999999973</v>
      </c>
      <c r="Q298" s="44">
        <v>0</v>
      </c>
      <c r="R298" s="44">
        <v>16061.175899999986</v>
      </c>
      <c r="S298" s="44">
        <v>23773.149599999993</v>
      </c>
      <c r="T298" s="44">
        <v>4776.7075999999952</v>
      </c>
      <c r="U298" s="44">
        <v>0</v>
      </c>
      <c r="V298" s="44">
        <v>0</v>
      </c>
      <c r="W298" s="44">
        <v>0</v>
      </c>
      <c r="X298" s="44">
        <v>0</v>
      </c>
      <c r="Y298" s="44">
        <v>0</v>
      </c>
      <c r="Z298" s="44">
        <v>0</v>
      </c>
      <c r="AA298" s="44">
        <v>20722.481500000045</v>
      </c>
      <c r="AB298" s="44">
        <v>0</v>
      </c>
      <c r="AC298" s="44">
        <v>63632.855817142859</v>
      </c>
      <c r="AD298" s="44">
        <v>0</v>
      </c>
      <c r="AE298" s="44">
        <v>0</v>
      </c>
      <c r="AF298" s="44">
        <v>0</v>
      </c>
      <c r="AG298" s="44">
        <v>138243.54</v>
      </c>
      <c r="AH298" s="44">
        <v>0</v>
      </c>
      <c r="AI298" s="44">
        <v>0</v>
      </c>
      <c r="AJ298" s="44">
        <v>0</v>
      </c>
      <c r="AK298" s="44">
        <v>3868.9787000000001</v>
      </c>
      <c r="AL298" s="44">
        <v>0</v>
      </c>
      <c r="AM298" s="44">
        <v>0</v>
      </c>
      <c r="AN298" s="44">
        <v>0</v>
      </c>
      <c r="AO298" s="44">
        <v>0</v>
      </c>
      <c r="AP298" s="44">
        <v>0</v>
      </c>
      <c r="AQ298" s="44">
        <v>0</v>
      </c>
      <c r="AR298" s="44">
        <v>0</v>
      </c>
      <c r="AS298" s="44">
        <v>0</v>
      </c>
      <c r="AT298" s="44">
        <v>750645.54599999997</v>
      </c>
      <c r="AU298" s="44">
        <v>201876.38531714276</v>
      </c>
      <c r="AV298" s="44">
        <v>142112.51870000002</v>
      </c>
      <c r="AW298" s="44">
        <v>159925.65711714278</v>
      </c>
      <c r="AX298" s="62">
        <v>1094634.4500171426</v>
      </c>
      <c r="AY298" s="62">
        <v>1090765.4713171425</v>
      </c>
      <c r="AZ298" s="62">
        <v>4610</v>
      </c>
      <c r="BA298" s="62">
        <v>968100</v>
      </c>
      <c r="BB298" s="62">
        <v>0</v>
      </c>
      <c r="BC298" s="62">
        <v>0</v>
      </c>
      <c r="BD298" s="62">
        <v>1094634.4500171426</v>
      </c>
      <c r="BE298" s="44">
        <v>1094634.4500171428</v>
      </c>
      <c r="BF298" s="44">
        <v>0</v>
      </c>
      <c r="BG298" s="62">
        <v>971968.97869999998</v>
      </c>
      <c r="BH298" s="62">
        <v>829856.46</v>
      </c>
      <c r="BI298" s="44">
        <v>952521.93131714256</v>
      </c>
      <c r="BJ298" s="44">
        <v>4535.8187205578215</v>
      </c>
      <c r="BK298" s="44">
        <v>4401.2281449760767</v>
      </c>
      <c r="BL298" s="45">
        <v>3.0580231505466845E-2</v>
      </c>
      <c r="BM298" s="45">
        <v>0</v>
      </c>
      <c r="BN298" s="44">
        <v>0</v>
      </c>
      <c r="BO298" s="62">
        <v>1094634.4500171426</v>
      </c>
      <c r="BP298" s="62">
        <v>5194.1212919863929</v>
      </c>
      <c r="BQ298" s="62" t="s">
        <v>92</v>
      </c>
      <c r="BR298" s="62">
        <v>5212.5450000816309</v>
      </c>
      <c r="BS298" s="53">
        <v>2.6681015147617559E-2</v>
      </c>
      <c r="BT298" s="44">
        <v>0</v>
      </c>
      <c r="BU298" s="44">
        <v>1094634.4500171426</v>
      </c>
      <c r="BV298" s="44">
        <v>0</v>
      </c>
      <c r="BW298" s="44">
        <v>1094634.4500171426</v>
      </c>
      <c r="BX298" s="44">
        <v>3868.9787000000001</v>
      </c>
      <c r="BY298" s="44">
        <v>1090765.4713171425</v>
      </c>
    </row>
    <row r="299" spans="1:77">
      <c r="A299">
        <v>0</v>
      </c>
      <c r="B299" s="60">
        <v>141830</v>
      </c>
      <c r="C299" s="60">
        <v>3303366</v>
      </c>
      <c r="D299" s="61" t="s">
        <v>1005</v>
      </c>
      <c r="E299" s="52">
        <v>174</v>
      </c>
      <c r="F299" s="52">
        <v>174</v>
      </c>
      <c r="G299" s="52">
        <v>0</v>
      </c>
      <c r="H299" s="44">
        <v>621963.45239999995</v>
      </c>
      <c r="I299" s="44">
        <v>0</v>
      </c>
      <c r="J299" s="44">
        <v>0</v>
      </c>
      <c r="K299" s="44">
        <v>58022.948200000006</v>
      </c>
      <c r="L299" s="44">
        <v>0</v>
      </c>
      <c r="M299" s="44">
        <v>97922.505799999941</v>
      </c>
      <c r="N299" s="44">
        <v>0</v>
      </c>
      <c r="O299" s="44">
        <v>1179.1239999999982</v>
      </c>
      <c r="P299" s="44">
        <v>572.00059999999905</v>
      </c>
      <c r="Q299" s="44">
        <v>2679.3714000000036</v>
      </c>
      <c r="R299" s="44">
        <v>973.40459999999837</v>
      </c>
      <c r="S299" s="44">
        <v>39794.185200000007</v>
      </c>
      <c r="T299" s="44">
        <v>50496.623199999987</v>
      </c>
      <c r="U299" s="44">
        <v>0</v>
      </c>
      <c r="V299" s="44">
        <v>0</v>
      </c>
      <c r="W299" s="44">
        <v>0</v>
      </c>
      <c r="X299" s="44">
        <v>0</v>
      </c>
      <c r="Y299" s="44">
        <v>0</v>
      </c>
      <c r="Z299" s="44">
        <v>0</v>
      </c>
      <c r="AA299" s="44">
        <v>17716.873173248448</v>
      </c>
      <c r="AB299" s="44">
        <v>0</v>
      </c>
      <c r="AC299" s="44">
        <v>55629.506180281671</v>
      </c>
      <c r="AD299" s="44">
        <v>0</v>
      </c>
      <c r="AE299" s="44">
        <v>17880.139776000055</v>
      </c>
      <c r="AF299" s="44">
        <v>0</v>
      </c>
      <c r="AG299" s="44">
        <v>138243.54</v>
      </c>
      <c r="AH299" s="44">
        <v>0</v>
      </c>
      <c r="AI299" s="44">
        <v>0</v>
      </c>
      <c r="AJ299" s="44">
        <v>0</v>
      </c>
      <c r="AK299" s="44">
        <v>4425.4773999999998</v>
      </c>
      <c r="AL299" s="44">
        <v>0</v>
      </c>
      <c r="AM299" s="44">
        <v>0</v>
      </c>
      <c r="AN299" s="44">
        <v>0</v>
      </c>
      <c r="AO299" s="44">
        <v>0</v>
      </c>
      <c r="AP299" s="44">
        <v>0</v>
      </c>
      <c r="AQ299" s="44">
        <v>0</v>
      </c>
      <c r="AR299" s="44">
        <v>0</v>
      </c>
      <c r="AS299" s="44">
        <v>0</v>
      </c>
      <c r="AT299" s="44">
        <v>621963.45239999995</v>
      </c>
      <c r="AU299" s="44">
        <v>342866.68212953012</v>
      </c>
      <c r="AV299" s="44">
        <v>142669.01740000001</v>
      </c>
      <c r="AW299" s="44">
        <v>212547.76030028163</v>
      </c>
      <c r="AX299" s="62">
        <v>1107499.1519295301</v>
      </c>
      <c r="AY299" s="62">
        <v>1103073.6745295301</v>
      </c>
      <c r="AZ299" s="62">
        <v>4610</v>
      </c>
      <c r="BA299" s="62">
        <v>802140</v>
      </c>
      <c r="BB299" s="62">
        <v>0</v>
      </c>
      <c r="BC299" s="62">
        <v>0</v>
      </c>
      <c r="BD299" s="62">
        <v>1107499.1519295301</v>
      </c>
      <c r="BE299" s="44">
        <v>1107499.1519295298</v>
      </c>
      <c r="BF299" s="44">
        <v>0</v>
      </c>
      <c r="BG299" s="62">
        <v>806565.47739999997</v>
      </c>
      <c r="BH299" s="62">
        <v>663896.46</v>
      </c>
      <c r="BI299" s="44">
        <v>964830.13452953007</v>
      </c>
      <c r="BJ299" s="44">
        <v>5545.0007731582191</v>
      </c>
      <c r="BK299" s="44">
        <v>5651.8673011173178</v>
      </c>
      <c r="BL299" s="45">
        <v>-1.8908180653493444E-2</v>
      </c>
      <c r="BM299" s="45">
        <v>2.3908180653493444E-2</v>
      </c>
      <c r="BN299" s="44">
        <v>23511.900416855235</v>
      </c>
      <c r="BO299" s="62">
        <v>1131011.0523463853</v>
      </c>
      <c r="BP299" s="62">
        <v>6474.6297410711804</v>
      </c>
      <c r="BQ299" s="62" t="s">
        <v>92</v>
      </c>
      <c r="BR299" s="62">
        <v>6500.0635192320997</v>
      </c>
      <c r="BS299" s="53">
        <v>8.5181838245980135E-3</v>
      </c>
      <c r="BT299" s="44">
        <v>0</v>
      </c>
      <c r="BU299" s="44">
        <v>1131011.0523463853</v>
      </c>
      <c r="BV299" s="44">
        <v>0</v>
      </c>
      <c r="BW299" s="44">
        <v>1131011.0523463853</v>
      </c>
      <c r="BX299" s="44">
        <v>4425.4773999999998</v>
      </c>
      <c r="BY299" s="44">
        <v>1126585.5749463853</v>
      </c>
    </row>
    <row r="300" spans="1:77">
      <c r="A300">
        <v>0</v>
      </c>
      <c r="B300" s="60">
        <v>141484</v>
      </c>
      <c r="C300" s="60">
        <v>3303374</v>
      </c>
      <c r="D300" s="61" t="s">
        <v>1006</v>
      </c>
      <c r="E300" s="52">
        <v>208</v>
      </c>
      <c r="F300" s="52">
        <v>208</v>
      </c>
      <c r="G300" s="52">
        <v>0</v>
      </c>
      <c r="H300" s="44">
        <v>743496.54079999996</v>
      </c>
      <c r="I300" s="44">
        <v>0</v>
      </c>
      <c r="J300" s="44">
        <v>0</v>
      </c>
      <c r="K300" s="44">
        <v>19177.076099999998</v>
      </c>
      <c r="L300" s="44">
        <v>0</v>
      </c>
      <c r="M300" s="44">
        <v>32092.249800000001</v>
      </c>
      <c r="N300" s="44">
        <v>0</v>
      </c>
      <c r="O300" s="44">
        <v>1414.9487999999978</v>
      </c>
      <c r="P300" s="44">
        <v>1716.001799999997</v>
      </c>
      <c r="Q300" s="44">
        <v>10270.923699999994</v>
      </c>
      <c r="R300" s="44">
        <v>1946.809199999997</v>
      </c>
      <c r="S300" s="44">
        <v>9302.5367999999944</v>
      </c>
      <c r="T300" s="44">
        <v>9553.4151999999995</v>
      </c>
      <c r="U300" s="44">
        <v>0</v>
      </c>
      <c r="V300" s="44">
        <v>0</v>
      </c>
      <c r="W300" s="44">
        <v>0</v>
      </c>
      <c r="X300" s="44">
        <v>0</v>
      </c>
      <c r="Y300" s="44">
        <v>0</v>
      </c>
      <c r="Z300" s="44">
        <v>0</v>
      </c>
      <c r="AA300" s="44">
        <v>13683.416355555542</v>
      </c>
      <c r="AB300" s="44">
        <v>0</v>
      </c>
      <c r="AC300" s="44">
        <v>75662.703914319674</v>
      </c>
      <c r="AD300" s="44">
        <v>0</v>
      </c>
      <c r="AE300" s="44">
        <v>0</v>
      </c>
      <c r="AF300" s="44">
        <v>0</v>
      </c>
      <c r="AG300" s="44">
        <v>138243.54</v>
      </c>
      <c r="AH300" s="44">
        <v>0</v>
      </c>
      <c r="AI300" s="44">
        <v>0</v>
      </c>
      <c r="AJ300" s="44">
        <v>0</v>
      </c>
      <c r="AK300" s="44">
        <v>3338.9819000000002</v>
      </c>
      <c r="AL300" s="44">
        <v>0</v>
      </c>
      <c r="AM300" s="44">
        <v>0</v>
      </c>
      <c r="AN300" s="44">
        <v>0</v>
      </c>
      <c r="AO300" s="44">
        <v>0</v>
      </c>
      <c r="AP300" s="44">
        <v>0</v>
      </c>
      <c r="AQ300" s="44">
        <v>0</v>
      </c>
      <c r="AR300" s="44">
        <v>0</v>
      </c>
      <c r="AS300" s="44">
        <v>0</v>
      </c>
      <c r="AT300" s="44">
        <v>743496.54079999996</v>
      </c>
      <c r="AU300" s="44">
        <v>174820.08166987519</v>
      </c>
      <c r="AV300" s="44">
        <v>141582.52190000002</v>
      </c>
      <c r="AW300" s="44">
        <v>155574.51165431965</v>
      </c>
      <c r="AX300" s="62">
        <v>1059899.1443698751</v>
      </c>
      <c r="AY300" s="62">
        <v>1056560.1624698751</v>
      </c>
      <c r="AZ300" s="62">
        <v>4610</v>
      </c>
      <c r="BA300" s="62">
        <v>958880</v>
      </c>
      <c r="BB300" s="62">
        <v>0</v>
      </c>
      <c r="BC300" s="62">
        <v>0</v>
      </c>
      <c r="BD300" s="62">
        <v>1059899.1443698751</v>
      </c>
      <c r="BE300" s="44">
        <v>1059899.1443698751</v>
      </c>
      <c r="BF300" s="44">
        <v>0</v>
      </c>
      <c r="BG300" s="62">
        <v>962218.98190000001</v>
      </c>
      <c r="BH300" s="62">
        <v>820636.46</v>
      </c>
      <c r="BI300" s="44">
        <v>918316.62246987503</v>
      </c>
      <c r="BJ300" s="44">
        <v>4414.9837618743995</v>
      </c>
      <c r="BK300" s="44">
        <v>4269.4116478468895</v>
      </c>
      <c r="BL300" s="45">
        <v>3.409652805461464E-2</v>
      </c>
      <c r="BM300" s="45">
        <v>0</v>
      </c>
      <c r="BN300" s="44">
        <v>0</v>
      </c>
      <c r="BO300" s="62">
        <v>1059899.1443698751</v>
      </c>
      <c r="BP300" s="62">
        <v>5079.616165720553</v>
      </c>
      <c r="BQ300" s="62" t="s">
        <v>92</v>
      </c>
      <c r="BR300" s="62">
        <v>5095.668963316707</v>
      </c>
      <c r="BS300" s="53">
        <v>2.913247507615857E-2</v>
      </c>
      <c r="BT300" s="44">
        <v>0</v>
      </c>
      <c r="BU300" s="44">
        <v>1059899.1443698751</v>
      </c>
      <c r="BV300" s="44">
        <v>0</v>
      </c>
      <c r="BW300" s="44">
        <v>1059899.1443698751</v>
      </c>
      <c r="BX300" s="44">
        <v>3338.9819000000002</v>
      </c>
      <c r="BY300" s="44">
        <v>1056560.1624698751</v>
      </c>
    </row>
    <row r="301" spans="1:77">
      <c r="A301">
        <v>0</v>
      </c>
      <c r="B301" s="60">
        <v>148973</v>
      </c>
      <c r="C301" s="60">
        <v>3303383</v>
      </c>
      <c r="D301" s="61" t="s">
        <v>1007</v>
      </c>
      <c r="E301" s="52">
        <v>208</v>
      </c>
      <c r="F301" s="52">
        <v>208</v>
      </c>
      <c r="G301" s="52">
        <v>0</v>
      </c>
      <c r="H301" s="44">
        <v>743496.54079999996</v>
      </c>
      <c r="I301" s="44">
        <v>0</v>
      </c>
      <c r="J301" s="44">
        <v>0</v>
      </c>
      <c r="K301" s="44">
        <v>29503.193999999952</v>
      </c>
      <c r="L301" s="44">
        <v>0</v>
      </c>
      <c r="M301" s="44">
        <v>50195.570200000038</v>
      </c>
      <c r="N301" s="44">
        <v>0</v>
      </c>
      <c r="O301" s="44">
        <v>24761.603999999985</v>
      </c>
      <c r="P301" s="44">
        <v>14014.014699999992</v>
      </c>
      <c r="Q301" s="44">
        <v>0</v>
      </c>
      <c r="R301" s="44">
        <v>1946.809199999997</v>
      </c>
      <c r="S301" s="44">
        <v>1033.6152000000004</v>
      </c>
      <c r="T301" s="44">
        <v>2729.5471999999959</v>
      </c>
      <c r="U301" s="44">
        <v>0</v>
      </c>
      <c r="V301" s="44">
        <v>0</v>
      </c>
      <c r="W301" s="44">
        <v>0</v>
      </c>
      <c r="X301" s="44">
        <v>0</v>
      </c>
      <c r="Y301" s="44">
        <v>0</v>
      </c>
      <c r="Z301" s="44">
        <v>0</v>
      </c>
      <c r="AA301" s="44">
        <v>45155.27397333338</v>
      </c>
      <c r="AB301" s="44">
        <v>0</v>
      </c>
      <c r="AC301" s="44">
        <v>88020.308230202165</v>
      </c>
      <c r="AD301" s="44">
        <v>0</v>
      </c>
      <c r="AE301" s="44">
        <v>0</v>
      </c>
      <c r="AF301" s="44">
        <v>0</v>
      </c>
      <c r="AG301" s="44">
        <v>138243.54</v>
      </c>
      <c r="AH301" s="44">
        <v>0</v>
      </c>
      <c r="AI301" s="44">
        <v>0</v>
      </c>
      <c r="AJ301" s="44">
        <v>0</v>
      </c>
      <c r="AK301" s="44">
        <v>3603.9803000000002</v>
      </c>
      <c r="AL301" s="44">
        <v>0</v>
      </c>
      <c r="AM301" s="44">
        <v>0</v>
      </c>
      <c r="AN301" s="44">
        <v>0</v>
      </c>
      <c r="AO301" s="44">
        <v>0</v>
      </c>
      <c r="AP301" s="44">
        <v>0</v>
      </c>
      <c r="AQ301" s="44">
        <v>0</v>
      </c>
      <c r="AR301" s="44">
        <v>0</v>
      </c>
      <c r="AS301" s="44">
        <v>0</v>
      </c>
      <c r="AT301" s="44">
        <v>743496.54079999996</v>
      </c>
      <c r="AU301" s="44">
        <v>257359.9367035355</v>
      </c>
      <c r="AV301" s="44">
        <v>141847.5203</v>
      </c>
      <c r="AW301" s="44">
        <v>187287.31252020213</v>
      </c>
      <c r="AX301" s="62">
        <v>1142703.9978035355</v>
      </c>
      <c r="AY301" s="62">
        <v>1139100.0175035356</v>
      </c>
      <c r="AZ301" s="62">
        <v>4610</v>
      </c>
      <c r="BA301" s="62">
        <v>958880</v>
      </c>
      <c r="BB301" s="62">
        <v>0</v>
      </c>
      <c r="BC301" s="62">
        <v>0</v>
      </c>
      <c r="BD301" s="62">
        <v>1142703.9978035355</v>
      </c>
      <c r="BE301" s="44">
        <v>1142703.9978035355</v>
      </c>
      <c r="BF301" s="44">
        <v>0</v>
      </c>
      <c r="BG301" s="62">
        <v>962483.98030000005</v>
      </c>
      <c r="BH301" s="62">
        <v>820636.46</v>
      </c>
      <c r="BI301" s="44">
        <v>1000856.4775035355</v>
      </c>
      <c r="BJ301" s="44">
        <v>4811.8099879977663</v>
      </c>
      <c r="BK301" s="44">
        <v>4595.3488666666672</v>
      </c>
      <c r="BL301" s="45">
        <v>4.7104393509978214E-2</v>
      </c>
      <c r="BM301" s="45">
        <v>0</v>
      </c>
      <c r="BN301" s="44">
        <v>0</v>
      </c>
      <c r="BO301" s="62">
        <v>1142703.9978035355</v>
      </c>
      <c r="BP301" s="62">
        <v>5476.4423918439215</v>
      </c>
      <c r="BQ301" s="62" t="s">
        <v>92</v>
      </c>
      <c r="BR301" s="62">
        <v>5493.7692202093058</v>
      </c>
      <c r="BS301" s="53">
        <v>4.2641337937694423E-2</v>
      </c>
      <c r="BT301" s="44">
        <v>0</v>
      </c>
      <c r="BU301" s="44">
        <v>1142703.9978035355</v>
      </c>
      <c r="BV301" s="44">
        <v>0</v>
      </c>
      <c r="BW301" s="44">
        <v>1142703.9978035355</v>
      </c>
      <c r="BX301" s="44">
        <v>3603.9803000000002</v>
      </c>
      <c r="BY301" s="44">
        <v>1139100.0175035356</v>
      </c>
    </row>
    <row r="302" spans="1:77">
      <c r="A302">
        <v>0</v>
      </c>
      <c r="B302" s="60">
        <v>140528</v>
      </c>
      <c r="C302" s="60">
        <v>3303401</v>
      </c>
      <c r="D302" s="61" t="s">
        <v>933</v>
      </c>
      <c r="E302" s="52">
        <v>387</v>
      </c>
      <c r="F302" s="52">
        <v>387</v>
      </c>
      <c r="G302" s="52">
        <v>0</v>
      </c>
      <c r="H302" s="44">
        <v>1383332.5061999999</v>
      </c>
      <c r="I302" s="44">
        <v>0</v>
      </c>
      <c r="J302" s="44">
        <v>0</v>
      </c>
      <c r="K302" s="44">
        <v>11801.277600000001</v>
      </c>
      <c r="L302" s="44">
        <v>0</v>
      </c>
      <c r="M302" s="44">
        <v>27154.98060000001</v>
      </c>
      <c r="N302" s="44">
        <v>0</v>
      </c>
      <c r="O302" s="44">
        <v>4952.3208000000031</v>
      </c>
      <c r="P302" s="44">
        <v>1716.0017999999945</v>
      </c>
      <c r="Q302" s="44">
        <v>0</v>
      </c>
      <c r="R302" s="44">
        <v>5353.7252999999964</v>
      </c>
      <c r="S302" s="44">
        <v>3100.8455999999901</v>
      </c>
      <c r="T302" s="44">
        <v>4094.3207999999872</v>
      </c>
      <c r="U302" s="44">
        <v>0</v>
      </c>
      <c r="V302" s="44">
        <v>0</v>
      </c>
      <c r="W302" s="44">
        <v>0</v>
      </c>
      <c r="X302" s="44">
        <v>0</v>
      </c>
      <c r="Y302" s="44">
        <v>0</v>
      </c>
      <c r="Z302" s="44">
        <v>0</v>
      </c>
      <c r="AA302" s="44">
        <v>29943.312959659055</v>
      </c>
      <c r="AB302" s="44">
        <v>0</v>
      </c>
      <c r="AC302" s="44">
        <v>111227.32789858519</v>
      </c>
      <c r="AD302" s="44">
        <v>0</v>
      </c>
      <c r="AE302" s="44">
        <v>0</v>
      </c>
      <c r="AF302" s="44">
        <v>0</v>
      </c>
      <c r="AG302" s="44">
        <v>138243.54</v>
      </c>
      <c r="AH302" s="44">
        <v>0</v>
      </c>
      <c r="AI302" s="44">
        <v>0</v>
      </c>
      <c r="AJ302" s="44">
        <v>0</v>
      </c>
      <c r="AK302" s="44">
        <v>3709.9776000000002</v>
      </c>
      <c r="AL302" s="44">
        <v>0</v>
      </c>
      <c r="AM302" s="44">
        <v>0</v>
      </c>
      <c r="AN302" s="44">
        <v>0</v>
      </c>
      <c r="AO302" s="44">
        <v>0</v>
      </c>
      <c r="AP302" s="44">
        <v>0</v>
      </c>
      <c r="AQ302" s="44">
        <v>0</v>
      </c>
      <c r="AR302" s="44">
        <v>0</v>
      </c>
      <c r="AS302" s="44">
        <v>0</v>
      </c>
      <c r="AT302" s="44">
        <v>1383332.5061999999</v>
      </c>
      <c r="AU302" s="44">
        <v>199344.11335824424</v>
      </c>
      <c r="AV302" s="44">
        <v>141953.51760000002</v>
      </c>
      <c r="AW302" s="44">
        <v>209480.6894585852</v>
      </c>
      <c r="AX302" s="62">
        <v>1724630.1371582444</v>
      </c>
      <c r="AY302" s="62">
        <v>1720920.1595582443</v>
      </c>
      <c r="AZ302" s="62">
        <v>4610</v>
      </c>
      <c r="BA302" s="62">
        <v>1784070</v>
      </c>
      <c r="BB302" s="62">
        <v>63149.840441755718</v>
      </c>
      <c r="BC302" s="62">
        <v>0</v>
      </c>
      <c r="BD302" s="62">
        <v>1787779.9776000001</v>
      </c>
      <c r="BE302" s="44">
        <v>1787779.9775999999</v>
      </c>
      <c r="BF302" s="44">
        <v>0</v>
      </c>
      <c r="BG302" s="62">
        <v>1787779.9776000001</v>
      </c>
      <c r="BH302" s="62">
        <v>1645826.46</v>
      </c>
      <c r="BI302" s="44">
        <v>1645826.46</v>
      </c>
      <c r="BJ302" s="44">
        <v>4252.7815503875972</v>
      </c>
      <c r="BK302" s="44">
        <v>4205.8960753658539</v>
      </c>
      <c r="BL302" s="45">
        <v>1.114755908885955E-2</v>
      </c>
      <c r="BM302" s="45">
        <v>0</v>
      </c>
      <c r="BN302" s="44">
        <v>0</v>
      </c>
      <c r="BO302" s="62">
        <v>1787779.9776000001</v>
      </c>
      <c r="BP302" s="62">
        <v>4610</v>
      </c>
      <c r="BQ302" s="62" t="s">
        <v>92</v>
      </c>
      <c r="BR302" s="62">
        <v>4619.5865054263568</v>
      </c>
      <c r="BS302" s="53">
        <v>1.4934693277879107E-2</v>
      </c>
      <c r="BT302" s="44">
        <v>0</v>
      </c>
      <c r="BU302" s="44">
        <v>1787779.9776000001</v>
      </c>
      <c r="BV302" s="44">
        <v>0</v>
      </c>
      <c r="BW302" s="44">
        <v>1787779.9776000001</v>
      </c>
      <c r="BX302" s="44">
        <v>3709.9776000000002</v>
      </c>
      <c r="BY302" s="44">
        <v>1784070</v>
      </c>
    </row>
    <row r="303" spans="1:77">
      <c r="A303">
        <v>0</v>
      </c>
      <c r="B303" s="60">
        <v>140525</v>
      </c>
      <c r="C303" s="60">
        <v>3303402</v>
      </c>
      <c r="D303" s="61" t="s">
        <v>1008</v>
      </c>
      <c r="E303" s="52">
        <v>211</v>
      </c>
      <c r="F303" s="52">
        <v>211</v>
      </c>
      <c r="G303" s="52">
        <v>0</v>
      </c>
      <c r="H303" s="44">
        <v>754220.04859999998</v>
      </c>
      <c r="I303" s="44">
        <v>0</v>
      </c>
      <c r="J303" s="44">
        <v>0</v>
      </c>
      <c r="K303" s="44">
        <v>10817.83780000001</v>
      </c>
      <c r="L303" s="44">
        <v>0</v>
      </c>
      <c r="M303" s="44">
        <v>18926.198600000022</v>
      </c>
      <c r="N303" s="44">
        <v>0</v>
      </c>
      <c r="O303" s="44">
        <v>3065.7223999999983</v>
      </c>
      <c r="P303" s="44">
        <v>2860.002999999997</v>
      </c>
      <c r="Q303" s="44">
        <v>0</v>
      </c>
      <c r="R303" s="44">
        <v>9734.0460000000003</v>
      </c>
      <c r="S303" s="44">
        <v>1033.6151999999997</v>
      </c>
      <c r="T303" s="44">
        <v>682.38680000000056</v>
      </c>
      <c r="U303" s="44">
        <v>0</v>
      </c>
      <c r="V303" s="44">
        <v>0</v>
      </c>
      <c r="W303" s="44">
        <v>0</v>
      </c>
      <c r="X303" s="44">
        <v>0</v>
      </c>
      <c r="Y303" s="44">
        <v>0</v>
      </c>
      <c r="Z303" s="44">
        <v>0</v>
      </c>
      <c r="AA303" s="44">
        <v>8282.450380110502</v>
      </c>
      <c r="AB303" s="44">
        <v>0</v>
      </c>
      <c r="AC303" s="44">
        <v>73494.584599135909</v>
      </c>
      <c r="AD303" s="44">
        <v>0</v>
      </c>
      <c r="AE303" s="44">
        <v>0</v>
      </c>
      <c r="AF303" s="44">
        <v>0</v>
      </c>
      <c r="AG303" s="44">
        <v>138243.54</v>
      </c>
      <c r="AH303" s="44">
        <v>0</v>
      </c>
      <c r="AI303" s="44">
        <v>0</v>
      </c>
      <c r="AJ303" s="44">
        <v>0</v>
      </c>
      <c r="AK303" s="44">
        <v>3312.48</v>
      </c>
      <c r="AL303" s="44">
        <v>0</v>
      </c>
      <c r="AM303" s="44">
        <v>0</v>
      </c>
      <c r="AN303" s="44">
        <v>0</v>
      </c>
      <c r="AO303" s="44">
        <v>0</v>
      </c>
      <c r="AP303" s="44">
        <v>0</v>
      </c>
      <c r="AQ303" s="44">
        <v>0</v>
      </c>
      <c r="AR303" s="44">
        <v>0</v>
      </c>
      <c r="AS303" s="44">
        <v>0</v>
      </c>
      <c r="AT303" s="44">
        <v>754220.04859999998</v>
      </c>
      <c r="AU303" s="44">
        <v>128896.84477924644</v>
      </c>
      <c r="AV303" s="44">
        <v>141556.02000000002</v>
      </c>
      <c r="AW303" s="44">
        <v>134765.49192913593</v>
      </c>
      <c r="AX303" s="62">
        <v>1024672.9133792465</v>
      </c>
      <c r="AY303" s="62">
        <v>1021360.4333792465</v>
      </c>
      <c r="AZ303" s="62">
        <v>4610</v>
      </c>
      <c r="BA303" s="62">
        <v>972710</v>
      </c>
      <c r="BB303" s="62">
        <v>0</v>
      </c>
      <c r="BC303" s="62">
        <v>0</v>
      </c>
      <c r="BD303" s="62">
        <v>1024672.9133792465</v>
      </c>
      <c r="BE303" s="44">
        <v>1024672.9133792464</v>
      </c>
      <c r="BF303" s="44">
        <v>0</v>
      </c>
      <c r="BG303" s="62">
        <v>976022.48</v>
      </c>
      <c r="BH303" s="62">
        <v>834466.46</v>
      </c>
      <c r="BI303" s="44">
        <v>883116.89337924647</v>
      </c>
      <c r="BJ303" s="44">
        <v>4185.3881202807888</v>
      </c>
      <c r="BK303" s="44">
        <v>4121.6555114285711</v>
      </c>
      <c r="BL303" s="45">
        <v>1.5462866480592384E-2</v>
      </c>
      <c r="BM303" s="45">
        <v>0</v>
      </c>
      <c r="BN303" s="44">
        <v>0</v>
      </c>
      <c r="BO303" s="62">
        <v>1024672.9133792465</v>
      </c>
      <c r="BP303" s="62">
        <v>4840.5707743092253</v>
      </c>
      <c r="BQ303" s="62" t="s">
        <v>92</v>
      </c>
      <c r="BR303" s="62">
        <v>4856.2697316551967</v>
      </c>
      <c r="BS303" s="53">
        <v>1.2332351723481683E-2</v>
      </c>
      <c r="BT303" s="44">
        <v>0</v>
      </c>
      <c r="BU303" s="44">
        <v>1024672.9133792465</v>
      </c>
      <c r="BV303" s="44">
        <v>0</v>
      </c>
      <c r="BW303" s="44">
        <v>1024672.9133792465</v>
      </c>
      <c r="BX303" s="44">
        <v>3312.48</v>
      </c>
      <c r="BY303" s="44">
        <v>1021360.4333792465</v>
      </c>
    </row>
    <row r="304" spans="1:77">
      <c r="A304">
        <v>0</v>
      </c>
      <c r="B304" s="60">
        <v>140529</v>
      </c>
      <c r="C304" s="60">
        <v>3303403</v>
      </c>
      <c r="D304" s="61" t="s">
        <v>1009</v>
      </c>
      <c r="E304" s="52">
        <v>210</v>
      </c>
      <c r="F304" s="52">
        <v>210</v>
      </c>
      <c r="G304" s="52">
        <v>0</v>
      </c>
      <c r="H304" s="44">
        <v>750645.54599999997</v>
      </c>
      <c r="I304" s="44">
        <v>0</v>
      </c>
      <c r="J304" s="44">
        <v>0</v>
      </c>
      <c r="K304" s="44">
        <v>5900.6387999999952</v>
      </c>
      <c r="L304" s="44">
        <v>0</v>
      </c>
      <c r="M304" s="44">
        <v>11520.294800000005</v>
      </c>
      <c r="N304" s="44">
        <v>0</v>
      </c>
      <c r="O304" s="44">
        <v>943.29919999999777</v>
      </c>
      <c r="P304" s="44">
        <v>0</v>
      </c>
      <c r="Q304" s="44">
        <v>446.56189999999981</v>
      </c>
      <c r="R304" s="44">
        <v>1460.1069000000011</v>
      </c>
      <c r="S304" s="44">
        <v>1550.4228000000014</v>
      </c>
      <c r="T304" s="44">
        <v>1364.7735999999993</v>
      </c>
      <c r="U304" s="44">
        <v>0</v>
      </c>
      <c r="V304" s="44">
        <v>0</v>
      </c>
      <c r="W304" s="44">
        <v>0</v>
      </c>
      <c r="X304" s="44">
        <v>0</v>
      </c>
      <c r="Y304" s="44">
        <v>0</v>
      </c>
      <c r="Z304" s="44">
        <v>0</v>
      </c>
      <c r="AA304" s="44">
        <v>3453.7469166666701</v>
      </c>
      <c r="AB304" s="44">
        <v>0</v>
      </c>
      <c r="AC304" s="44">
        <v>60327.06703622621</v>
      </c>
      <c r="AD304" s="44">
        <v>0</v>
      </c>
      <c r="AE304" s="44">
        <v>0</v>
      </c>
      <c r="AF304" s="44">
        <v>0</v>
      </c>
      <c r="AG304" s="44">
        <v>138243.54</v>
      </c>
      <c r="AH304" s="44">
        <v>0</v>
      </c>
      <c r="AI304" s="44">
        <v>0</v>
      </c>
      <c r="AJ304" s="44">
        <v>0</v>
      </c>
      <c r="AK304" s="44">
        <v>8585.9460999999992</v>
      </c>
      <c r="AL304" s="44">
        <v>0</v>
      </c>
      <c r="AM304" s="44">
        <v>0</v>
      </c>
      <c r="AN304" s="44">
        <v>0</v>
      </c>
      <c r="AO304" s="44">
        <v>0</v>
      </c>
      <c r="AP304" s="44">
        <v>0</v>
      </c>
      <c r="AQ304" s="44">
        <v>0</v>
      </c>
      <c r="AR304" s="44">
        <v>0</v>
      </c>
      <c r="AS304" s="44">
        <v>0</v>
      </c>
      <c r="AT304" s="44">
        <v>750645.54599999997</v>
      </c>
      <c r="AU304" s="44">
        <v>86966.911952892886</v>
      </c>
      <c r="AV304" s="44">
        <v>146829.48610000001</v>
      </c>
      <c r="AW304" s="44">
        <v>109452.3933362262</v>
      </c>
      <c r="AX304" s="62">
        <v>984441.94405289285</v>
      </c>
      <c r="AY304" s="62">
        <v>975855.99795289291</v>
      </c>
      <c r="AZ304" s="62">
        <v>4610</v>
      </c>
      <c r="BA304" s="62">
        <v>968100</v>
      </c>
      <c r="BB304" s="62">
        <v>0</v>
      </c>
      <c r="BC304" s="62">
        <v>0</v>
      </c>
      <c r="BD304" s="62">
        <v>984441.94405289285</v>
      </c>
      <c r="BE304" s="44">
        <v>984441.94405289274</v>
      </c>
      <c r="BF304" s="44">
        <v>0</v>
      </c>
      <c r="BG304" s="62">
        <v>976685.94609999994</v>
      </c>
      <c r="BH304" s="62">
        <v>829856.46</v>
      </c>
      <c r="BI304" s="44">
        <v>837612.45795289287</v>
      </c>
      <c r="BJ304" s="44">
        <v>3988.6307521566328</v>
      </c>
      <c r="BK304" s="44">
        <v>4038.4847095238088</v>
      </c>
      <c r="BL304" s="45">
        <v>-1.2344718614287995E-2</v>
      </c>
      <c r="BM304" s="45">
        <v>1.7344718614287994E-2</v>
      </c>
      <c r="BN304" s="44">
        <v>14709.739992106961</v>
      </c>
      <c r="BO304" s="62">
        <v>999151.68404499977</v>
      </c>
      <c r="BP304" s="62">
        <v>4716.9797044999996</v>
      </c>
      <c r="BQ304" s="62" t="s">
        <v>92</v>
      </c>
      <c r="BR304" s="62">
        <v>4757.8651621190465</v>
      </c>
      <c r="BS304" s="53">
        <v>9.7119289142897358E-3</v>
      </c>
      <c r="BT304" s="44">
        <v>0</v>
      </c>
      <c r="BU304" s="44">
        <v>999151.68404499977</v>
      </c>
      <c r="BV304" s="44">
        <v>0</v>
      </c>
      <c r="BW304" s="44">
        <v>999151.68404499977</v>
      </c>
      <c r="BX304" s="44">
        <v>8585.9460999999992</v>
      </c>
      <c r="BY304" s="44">
        <v>990565.73794499983</v>
      </c>
    </row>
    <row r="305" spans="1:77">
      <c r="A305">
        <v>0</v>
      </c>
      <c r="B305" s="60">
        <v>143437</v>
      </c>
      <c r="C305" s="60">
        <v>3303412</v>
      </c>
      <c r="D305" s="61" t="s">
        <v>1010</v>
      </c>
      <c r="E305" s="52">
        <v>768</v>
      </c>
      <c r="F305" s="52">
        <v>768</v>
      </c>
      <c r="G305" s="52">
        <v>0</v>
      </c>
      <c r="H305" s="44">
        <v>2745217.9967999998</v>
      </c>
      <c r="I305" s="44">
        <v>0</v>
      </c>
      <c r="J305" s="44">
        <v>0</v>
      </c>
      <c r="K305" s="44">
        <v>209472.67739999999</v>
      </c>
      <c r="L305" s="44">
        <v>0</v>
      </c>
      <c r="M305" s="44">
        <v>353014.74780000001</v>
      </c>
      <c r="N305" s="44">
        <v>0</v>
      </c>
      <c r="O305" s="44">
        <v>15820.861680312904</v>
      </c>
      <c r="P305" s="44">
        <v>7159.329543676673</v>
      </c>
      <c r="Q305" s="44">
        <v>10284.314734810943</v>
      </c>
      <c r="R305" s="44">
        <v>26316.190072490241</v>
      </c>
      <c r="S305" s="44">
        <v>183705.89838852655</v>
      </c>
      <c r="T305" s="44">
        <v>160569.97348631042</v>
      </c>
      <c r="U305" s="44">
        <v>0</v>
      </c>
      <c r="V305" s="44">
        <v>0</v>
      </c>
      <c r="W305" s="44">
        <v>0</v>
      </c>
      <c r="X305" s="44">
        <v>0</v>
      </c>
      <c r="Y305" s="44">
        <v>0</v>
      </c>
      <c r="Z305" s="44">
        <v>0</v>
      </c>
      <c r="AA305" s="44">
        <v>97486.648458170966</v>
      </c>
      <c r="AB305" s="44">
        <v>0</v>
      </c>
      <c r="AC305" s="44">
        <v>355177.1098647631</v>
      </c>
      <c r="AD305" s="44">
        <v>0</v>
      </c>
      <c r="AE305" s="44">
        <v>16300.213632000001</v>
      </c>
      <c r="AF305" s="44">
        <v>0</v>
      </c>
      <c r="AG305" s="44">
        <v>138243.54</v>
      </c>
      <c r="AH305" s="44">
        <v>0</v>
      </c>
      <c r="AI305" s="44">
        <v>0</v>
      </c>
      <c r="AJ305" s="44">
        <v>0</v>
      </c>
      <c r="AK305" s="44">
        <v>6253.9642999999996</v>
      </c>
      <c r="AL305" s="44">
        <v>0</v>
      </c>
      <c r="AM305" s="44">
        <v>0</v>
      </c>
      <c r="AN305" s="44">
        <v>0</v>
      </c>
      <c r="AO305" s="44">
        <v>0</v>
      </c>
      <c r="AP305" s="44">
        <v>0</v>
      </c>
      <c r="AQ305" s="44">
        <v>0</v>
      </c>
      <c r="AR305" s="44">
        <v>0</v>
      </c>
      <c r="AS305" s="44">
        <v>0</v>
      </c>
      <c r="AT305" s="44">
        <v>2745217.9967999998</v>
      </c>
      <c r="AU305" s="44">
        <v>1435307.9650610618</v>
      </c>
      <c r="AV305" s="44">
        <v>144497.5043</v>
      </c>
      <c r="AW305" s="44">
        <v>975610.00625782693</v>
      </c>
      <c r="AX305" s="62">
        <v>4325023.466161062</v>
      </c>
      <c r="AY305" s="62">
        <v>4318769.5018610619</v>
      </c>
      <c r="AZ305" s="62">
        <v>4610</v>
      </c>
      <c r="BA305" s="62">
        <v>3540480</v>
      </c>
      <c r="BB305" s="62">
        <v>0</v>
      </c>
      <c r="BC305" s="62">
        <v>0</v>
      </c>
      <c r="BD305" s="62">
        <v>4325023.466161062</v>
      </c>
      <c r="BE305" s="44">
        <v>4325023.466161062</v>
      </c>
      <c r="BF305" s="44">
        <v>0</v>
      </c>
      <c r="BG305" s="62">
        <v>3546733.9643000001</v>
      </c>
      <c r="BH305" s="62">
        <v>3402236.46</v>
      </c>
      <c r="BI305" s="44">
        <v>4180525.9618610619</v>
      </c>
      <c r="BJ305" s="44">
        <v>5443.393179506591</v>
      </c>
      <c r="BK305" s="44">
        <v>5369.2562556390976</v>
      </c>
      <c r="BL305" s="45">
        <v>1.380767099533209E-2</v>
      </c>
      <c r="BM305" s="45">
        <v>0</v>
      </c>
      <c r="BN305" s="44">
        <v>0</v>
      </c>
      <c r="BO305" s="62">
        <v>4325023.466161062</v>
      </c>
      <c r="BP305" s="62">
        <v>5623.3977888815907</v>
      </c>
      <c r="BQ305" s="62" t="s">
        <v>92</v>
      </c>
      <c r="BR305" s="62">
        <v>5631.5409715638825</v>
      </c>
      <c r="BS305" s="53">
        <v>1.4154888872149662E-2</v>
      </c>
      <c r="BT305" s="44">
        <v>0</v>
      </c>
      <c r="BU305" s="44">
        <v>4325023.466161062</v>
      </c>
      <c r="BV305" s="44">
        <v>0</v>
      </c>
      <c r="BW305" s="44">
        <v>4325023.466161062</v>
      </c>
      <c r="BX305" s="44">
        <v>6253.9642999999996</v>
      </c>
      <c r="BY305" s="44">
        <v>4318769.5018610619</v>
      </c>
    </row>
    <row r="306" spans="1:77">
      <c r="A306">
        <v>0</v>
      </c>
      <c r="B306" s="60">
        <v>139520</v>
      </c>
      <c r="C306" s="60">
        <v>3303429</v>
      </c>
      <c r="D306" s="61" t="s">
        <v>1011</v>
      </c>
      <c r="E306" s="52">
        <v>400</v>
      </c>
      <c r="F306" s="52">
        <v>400</v>
      </c>
      <c r="G306" s="52">
        <v>0</v>
      </c>
      <c r="H306" s="44">
        <v>1429801.04</v>
      </c>
      <c r="I306" s="44">
        <v>0</v>
      </c>
      <c r="J306" s="44">
        <v>0</v>
      </c>
      <c r="K306" s="44">
        <v>29503.194</v>
      </c>
      <c r="L306" s="44">
        <v>0</v>
      </c>
      <c r="M306" s="44">
        <v>51018.448400000001</v>
      </c>
      <c r="N306" s="44">
        <v>0</v>
      </c>
      <c r="O306" s="44">
        <v>3065.7224000000001</v>
      </c>
      <c r="P306" s="44">
        <v>858.0009</v>
      </c>
      <c r="Q306" s="44">
        <v>0</v>
      </c>
      <c r="R306" s="44">
        <v>973.40459999999996</v>
      </c>
      <c r="S306" s="44">
        <v>516.80759999999998</v>
      </c>
      <c r="T306" s="44">
        <v>0</v>
      </c>
      <c r="U306" s="44">
        <v>0</v>
      </c>
      <c r="V306" s="44">
        <v>0</v>
      </c>
      <c r="W306" s="44">
        <v>0</v>
      </c>
      <c r="X306" s="44">
        <v>0</v>
      </c>
      <c r="Y306" s="44">
        <v>0</v>
      </c>
      <c r="Z306" s="44">
        <v>0</v>
      </c>
      <c r="AA306" s="44">
        <v>22875.466590909095</v>
      </c>
      <c r="AB306" s="44">
        <v>0</v>
      </c>
      <c r="AC306" s="44">
        <v>97034.002913710749</v>
      </c>
      <c r="AD306" s="44">
        <v>0</v>
      </c>
      <c r="AE306" s="44">
        <v>0</v>
      </c>
      <c r="AF306" s="44">
        <v>0</v>
      </c>
      <c r="AG306" s="44">
        <v>138243.54</v>
      </c>
      <c r="AH306" s="44">
        <v>0</v>
      </c>
      <c r="AI306" s="44">
        <v>0</v>
      </c>
      <c r="AJ306" s="44">
        <v>0</v>
      </c>
      <c r="AK306" s="44">
        <v>10599.936</v>
      </c>
      <c r="AL306" s="44">
        <v>0</v>
      </c>
      <c r="AM306" s="44">
        <v>0</v>
      </c>
      <c r="AN306" s="44">
        <v>0</v>
      </c>
      <c r="AO306" s="44">
        <v>0</v>
      </c>
      <c r="AP306" s="44">
        <v>0</v>
      </c>
      <c r="AQ306" s="44">
        <v>0</v>
      </c>
      <c r="AR306" s="44">
        <v>0</v>
      </c>
      <c r="AS306" s="44">
        <v>0</v>
      </c>
      <c r="AT306" s="44">
        <v>1429801.04</v>
      </c>
      <c r="AU306" s="44">
        <v>205845.04740461984</v>
      </c>
      <c r="AV306" s="44">
        <v>148843.476</v>
      </c>
      <c r="AW306" s="44">
        <v>211491.84386371076</v>
      </c>
      <c r="AX306" s="62">
        <v>1784489.5634046199</v>
      </c>
      <c r="AY306" s="62">
        <v>1773889.6274046199</v>
      </c>
      <c r="AZ306" s="62">
        <v>4610</v>
      </c>
      <c r="BA306" s="62">
        <v>1844000</v>
      </c>
      <c r="BB306" s="62">
        <v>70110.37259538006</v>
      </c>
      <c r="BC306" s="62">
        <v>0</v>
      </c>
      <c r="BD306" s="62">
        <v>1854599.936</v>
      </c>
      <c r="BE306" s="44">
        <v>1854599.936</v>
      </c>
      <c r="BF306" s="44">
        <v>0</v>
      </c>
      <c r="BG306" s="62">
        <v>1854599.936</v>
      </c>
      <c r="BH306" s="62">
        <v>1705756.46</v>
      </c>
      <c r="BI306" s="44">
        <v>1705756.46</v>
      </c>
      <c r="BJ306" s="44">
        <v>4264.3911499999995</v>
      </c>
      <c r="BK306" s="44">
        <v>4227.4228322738381</v>
      </c>
      <c r="BL306" s="45">
        <v>8.7448829210861976E-3</v>
      </c>
      <c r="BM306" s="45">
        <v>0</v>
      </c>
      <c r="BN306" s="44">
        <v>0</v>
      </c>
      <c r="BO306" s="62">
        <v>1854599.936</v>
      </c>
      <c r="BP306" s="62">
        <v>4610</v>
      </c>
      <c r="BQ306" s="62" t="s">
        <v>92</v>
      </c>
      <c r="BR306" s="62">
        <v>4636.4998400000004</v>
      </c>
      <c r="BS306" s="53">
        <v>1.2276070069614731E-2</v>
      </c>
      <c r="BT306" s="44">
        <v>0</v>
      </c>
      <c r="BU306" s="44">
        <v>1854599.936</v>
      </c>
      <c r="BV306" s="44">
        <v>0</v>
      </c>
      <c r="BW306" s="44">
        <v>1854599.936</v>
      </c>
      <c r="BX306" s="44">
        <v>10599.936</v>
      </c>
      <c r="BY306" s="44">
        <v>1844000</v>
      </c>
    </row>
    <row r="307" spans="1:77">
      <c r="A307">
        <v>0</v>
      </c>
      <c r="B307" s="60">
        <v>143869</v>
      </c>
      <c r="C307" s="60">
        <v>3303430</v>
      </c>
      <c r="D307" s="61" t="s">
        <v>1012</v>
      </c>
      <c r="E307" s="52">
        <v>688</v>
      </c>
      <c r="F307" s="52">
        <v>688</v>
      </c>
      <c r="G307" s="52">
        <v>0</v>
      </c>
      <c r="H307" s="44">
        <v>2459257.7887999997</v>
      </c>
      <c r="I307" s="44">
        <v>0</v>
      </c>
      <c r="J307" s="44">
        <v>0</v>
      </c>
      <c r="K307" s="44">
        <v>117521.05610000015</v>
      </c>
      <c r="L307" s="44">
        <v>0</v>
      </c>
      <c r="M307" s="44">
        <v>204896.67180000013</v>
      </c>
      <c r="N307" s="44">
        <v>0</v>
      </c>
      <c r="O307" s="44">
        <v>25704.903200000077</v>
      </c>
      <c r="P307" s="44">
        <v>34320.036000000036</v>
      </c>
      <c r="Q307" s="44">
        <v>5358.7428000000064</v>
      </c>
      <c r="R307" s="44">
        <v>19954.794300000012</v>
      </c>
      <c r="S307" s="44">
        <v>39277.377600000087</v>
      </c>
      <c r="T307" s="44">
        <v>19106.830400000024</v>
      </c>
      <c r="U307" s="44">
        <v>0</v>
      </c>
      <c r="V307" s="44">
        <v>0</v>
      </c>
      <c r="W307" s="44">
        <v>0</v>
      </c>
      <c r="X307" s="44">
        <v>0</v>
      </c>
      <c r="Y307" s="44">
        <v>0</v>
      </c>
      <c r="Z307" s="44">
        <v>0</v>
      </c>
      <c r="AA307" s="44">
        <v>119303.24439352736</v>
      </c>
      <c r="AB307" s="44">
        <v>0</v>
      </c>
      <c r="AC307" s="44">
        <v>295104.38647379895</v>
      </c>
      <c r="AD307" s="44">
        <v>0</v>
      </c>
      <c r="AE307" s="44">
        <v>0</v>
      </c>
      <c r="AF307" s="44">
        <v>0</v>
      </c>
      <c r="AG307" s="44">
        <v>138243.54</v>
      </c>
      <c r="AH307" s="44">
        <v>0</v>
      </c>
      <c r="AI307" s="44">
        <v>0</v>
      </c>
      <c r="AJ307" s="44">
        <v>0</v>
      </c>
      <c r="AK307" s="44">
        <v>6147.9669999999996</v>
      </c>
      <c r="AL307" s="44">
        <v>0</v>
      </c>
      <c r="AM307" s="44">
        <v>0</v>
      </c>
      <c r="AN307" s="44">
        <v>0</v>
      </c>
      <c r="AO307" s="44">
        <v>0</v>
      </c>
      <c r="AP307" s="44">
        <v>0</v>
      </c>
      <c r="AQ307" s="44">
        <v>0</v>
      </c>
      <c r="AR307" s="44">
        <v>0</v>
      </c>
      <c r="AS307" s="44">
        <v>0</v>
      </c>
      <c r="AT307" s="44">
        <v>2459257.7887999997</v>
      </c>
      <c r="AU307" s="44">
        <v>880548.04306732677</v>
      </c>
      <c r="AV307" s="44">
        <v>144391.50700000001</v>
      </c>
      <c r="AW307" s="44">
        <v>651137.48201379925</v>
      </c>
      <c r="AX307" s="62">
        <v>3484197.3388673267</v>
      </c>
      <c r="AY307" s="62">
        <v>3478049.3718673266</v>
      </c>
      <c r="AZ307" s="62">
        <v>4610</v>
      </c>
      <c r="BA307" s="62">
        <v>3171680</v>
      </c>
      <c r="BB307" s="62">
        <v>0</v>
      </c>
      <c r="BC307" s="62">
        <v>0</v>
      </c>
      <c r="BD307" s="62">
        <v>3484197.3388673267</v>
      </c>
      <c r="BE307" s="44">
        <v>3484197.3388673272</v>
      </c>
      <c r="BF307" s="44">
        <v>0</v>
      </c>
      <c r="BG307" s="62">
        <v>3177827.9670000002</v>
      </c>
      <c r="BH307" s="62">
        <v>3033436.46</v>
      </c>
      <c r="BI307" s="44">
        <v>3339805.8318673265</v>
      </c>
      <c r="BJ307" s="44">
        <v>4854.3689416676261</v>
      </c>
      <c r="BK307" s="44">
        <v>4800.4021634349028</v>
      </c>
      <c r="BL307" s="45">
        <v>1.1242136886736934E-2</v>
      </c>
      <c r="BM307" s="45">
        <v>0</v>
      </c>
      <c r="BN307" s="44">
        <v>0</v>
      </c>
      <c r="BO307" s="62">
        <v>3484197.3388673267</v>
      </c>
      <c r="BP307" s="62">
        <v>5055.3043195746022</v>
      </c>
      <c r="BQ307" s="62" t="s">
        <v>92</v>
      </c>
      <c r="BR307" s="62">
        <v>5064.2403181211148</v>
      </c>
      <c r="BS307" s="53">
        <v>1.1608044571245424E-2</v>
      </c>
      <c r="BT307" s="44">
        <v>0</v>
      </c>
      <c r="BU307" s="44">
        <v>3484197.3388673267</v>
      </c>
      <c r="BV307" s="44">
        <v>0</v>
      </c>
      <c r="BW307" s="44">
        <v>3484197.3388673267</v>
      </c>
      <c r="BX307" s="44">
        <v>6147.9669999999996</v>
      </c>
      <c r="BY307" s="44">
        <v>3478049.3718673266</v>
      </c>
    </row>
    <row r="308" spans="1:77">
      <c r="A308">
        <v>0</v>
      </c>
      <c r="B308" s="60">
        <v>140889</v>
      </c>
      <c r="C308" s="60">
        <v>3303433</v>
      </c>
      <c r="D308" s="61" t="s">
        <v>1013</v>
      </c>
      <c r="E308" s="52">
        <v>397</v>
      </c>
      <c r="F308" s="52">
        <v>397</v>
      </c>
      <c r="G308" s="52">
        <v>0</v>
      </c>
      <c r="H308" s="44">
        <v>1419077.5322</v>
      </c>
      <c r="I308" s="44">
        <v>0</v>
      </c>
      <c r="J308" s="44">
        <v>0</v>
      </c>
      <c r="K308" s="44">
        <v>128338.89389999991</v>
      </c>
      <c r="L308" s="44">
        <v>0</v>
      </c>
      <c r="M308" s="44">
        <v>218062.72299999994</v>
      </c>
      <c r="N308" s="44">
        <v>0</v>
      </c>
      <c r="O308" s="44">
        <v>3537.3720000000035</v>
      </c>
      <c r="P308" s="44">
        <v>1144.0011999999974</v>
      </c>
      <c r="Q308" s="44">
        <v>17862.475999999959</v>
      </c>
      <c r="R308" s="44">
        <v>53050.550700000007</v>
      </c>
      <c r="S308" s="44">
        <v>73903.486800000086</v>
      </c>
      <c r="T308" s="44">
        <v>17742.056799999998</v>
      </c>
      <c r="U308" s="44">
        <v>0</v>
      </c>
      <c r="V308" s="44">
        <v>0</v>
      </c>
      <c r="W308" s="44">
        <v>0</v>
      </c>
      <c r="X308" s="44">
        <v>0</v>
      </c>
      <c r="Y308" s="44">
        <v>0</v>
      </c>
      <c r="Z308" s="44">
        <v>0</v>
      </c>
      <c r="AA308" s="44">
        <v>24196.544574999949</v>
      </c>
      <c r="AB308" s="44">
        <v>0</v>
      </c>
      <c r="AC308" s="44">
        <v>171496.31630560607</v>
      </c>
      <c r="AD308" s="44">
        <v>0</v>
      </c>
      <c r="AE308" s="44">
        <v>14623.950527999998</v>
      </c>
      <c r="AF308" s="44">
        <v>0</v>
      </c>
      <c r="AG308" s="44">
        <v>138243.54</v>
      </c>
      <c r="AH308" s="44">
        <v>0</v>
      </c>
      <c r="AI308" s="44">
        <v>0</v>
      </c>
      <c r="AJ308" s="44">
        <v>0</v>
      </c>
      <c r="AK308" s="44">
        <v>8850.9444999999996</v>
      </c>
      <c r="AL308" s="44">
        <v>0</v>
      </c>
      <c r="AM308" s="44">
        <v>0</v>
      </c>
      <c r="AN308" s="44">
        <v>0</v>
      </c>
      <c r="AO308" s="44">
        <v>0</v>
      </c>
      <c r="AP308" s="44">
        <v>0</v>
      </c>
      <c r="AQ308" s="44">
        <v>0</v>
      </c>
      <c r="AR308" s="44">
        <v>0</v>
      </c>
      <c r="AS308" s="44">
        <v>0</v>
      </c>
      <c r="AT308" s="44">
        <v>1419077.5322</v>
      </c>
      <c r="AU308" s="44">
        <v>723958.37180860597</v>
      </c>
      <c r="AV308" s="44">
        <v>147094.48450000002</v>
      </c>
      <c r="AW308" s="44">
        <v>499270.973115606</v>
      </c>
      <c r="AX308" s="62">
        <v>2290130.3885086058</v>
      </c>
      <c r="AY308" s="62">
        <v>2281279.4440086056</v>
      </c>
      <c r="AZ308" s="62">
        <v>4610</v>
      </c>
      <c r="BA308" s="62">
        <v>1830170</v>
      </c>
      <c r="BB308" s="62">
        <v>0</v>
      </c>
      <c r="BC308" s="62">
        <v>0</v>
      </c>
      <c r="BD308" s="62">
        <v>2290130.3885086058</v>
      </c>
      <c r="BE308" s="44">
        <v>2290130.3885086058</v>
      </c>
      <c r="BF308" s="44">
        <v>0</v>
      </c>
      <c r="BG308" s="62">
        <v>1839020.9445</v>
      </c>
      <c r="BH308" s="62">
        <v>1691926.46</v>
      </c>
      <c r="BI308" s="44">
        <v>2143035.9040086055</v>
      </c>
      <c r="BJ308" s="44">
        <v>5398.0753249587042</v>
      </c>
      <c r="BK308" s="44">
        <v>5190.4234876237624</v>
      </c>
      <c r="BL308" s="45">
        <v>4.0006723503404777E-2</v>
      </c>
      <c r="BM308" s="45">
        <v>0</v>
      </c>
      <c r="BN308" s="44">
        <v>0</v>
      </c>
      <c r="BO308" s="62">
        <v>2290130.3885086058</v>
      </c>
      <c r="BP308" s="62">
        <v>5746.295828737042</v>
      </c>
      <c r="BQ308" s="62" t="s">
        <v>92</v>
      </c>
      <c r="BR308" s="62">
        <v>5768.5903992660096</v>
      </c>
      <c r="BS308" s="53">
        <v>3.9875622041638525E-2</v>
      </c>
      <c r="BT308" s="44">
        <v>0</v>
      </c>
      <c r="BU308" s="44">
        <v>2290130.3885086058</v>
      </c>
      <c r="BV308" s="44">
        <v>0</v>
      </c>
      <c r="BW308" s="44">
        <v>2290130.3885086058</v>
      </c>
      <c r="BX308" s="44">
        <v>8850.9444999999996</v>
      </c>
      <c r="BY308" s="44">
        <v>2281279.4440086056</v>
      </c>
    </row>
    <row r="309" spans="1:77">
      <c r="A309">
        <v>0</v>
      </c>
      <c r="B309" s="60">
        <v>137155</v>
      </c>
      <c r="C309" s="60">
        <v>3305201</v>
      </c>
      <c r="D309" s="61" t="s">
        <v>1014</v>
      </c>
      <c r="E309" s="52">
        <v>420</v>
      </c>
      <c r="F309" s="52">
        <v>420</v>
      </c>
      <c r="G309" s="52">
        <v>0</v>
      </c>
      <c r="H309" s="44">
        <v>1501291.0919999999</v>
      </c>
      <c r="I309" s="44">
        <v>0</v>
      </c>
      <c r="J309" s="44">
        <v>0</v>
      </c>
      <c r="K309" s="44">
        <v>14751.596999999992</v>
      </c>
      <c r="L309" s="44">
        <v>0</v>
      </c>
      <c r="M309" s="44">
        <v>25509.224199999997</v>
      </c>
      <c r="N309" s="44">
        <v>0</v>
      </c>
      <c r="O309" s="44">
        <v>2358.2479999999991</v>
      </c>
      <c r="P309" s="44">
        <v>2860.0029999999988</v>
      </c>
      <c r="Q309" s="44">
        <v>0</v>
      </c>
      <c r="R309" s="44">
        <v>4867.0229999999983</v>
      </c>
      <c r="S309" s="44">
        <v>0</v>
      </c>
      <c r="T309" s="44">
        <v>2047.1603999999991</v>
      </c>
      <c r="U309" s="44">
        <v>0</v>
      </c>
      <c r="V309" s="44">
        <v>0</v>
      </c>
      <c r="W309" s="44">
        <v>0</v>
      </c>
      <c r="X309" s="44">
        <v>0</v>
      </c>
      <c r="Y309" s="44">
        <v>0</v>
      </c>
      <c r="Z309" s="44">
        <v>0</v>
      </c>
      <c r="AA309" s="44">
        <v>15887.235816666669</v>
      </c>
      <c r="AB309" s="44">
        <v>0</v>
      </c>
      <c r="AC309" s="44">
        <v>92245.458598965633</v>
      </c>
      <c r="AD309" s="44">
        <v>0</v>
      </c>
      <c r="AE309" s="44">
        <v>0</v>
      </c>
      <c r="AF309" s="44">
        <v>0</v>
      </c>
      <c r="AG309" s="44">
        <v>138243.54</v>
      </c>
      <c r="AH309" s="44">
        <v>0</v>
      </c>
      <c r="AI309" s="44">
        <v>0</v>
      </c>
      <c r="AJ309" s="44">
        <v>0</v>
      </c>
      <c r="AK309" s="44">
        <v>5061.4714999999997</v>
      </c>
      <c r="AL309" s="44">
        <v>0</v>
      </c>
      <c r="AM309" s="44">
        <v>0</v>
      </c>
      <c r="AN309" s="44">
        <v>0</v>
      </c>
      <c r="AO309" s="44">
        <v>0</v>
      </c>
      <c r="AP309" s="44">
        <v>0</v>
      </c>
      <c r="AQ309" s="44">
        <v>0</v>
      </c>
      <c r="AR309" s="44">
        <v>0</v>
      </c>
      <c r="AS309" s="44">
        <v>0</v>
      </c>
      <c r="AT309" s="44">
        <v>1501291.0919999999</v>
      </c>
      <c r="AU309" s="44">
        <v>160525.95001563229</v>
      </c>
      <c r="AV309" s="44">
        <v>143305.01150000002</v>
      </c>
      <c r="AW309" s="44">
        <v>193506.64099896559</v>
      </c>
      <c r="AX309" s="62">
        <v>1805122.0535156322</v>
      </c>
      <c r="AY309" s="62">
        <v>1800060.5820156322</v>
      </c>
      <c r="AZ309" s="62">
        <v>4610</v>
      </c>
      <c r="BA309" s="62">
        <v>1936200</v>
      </c>
      <c r="BB309" s="62">
        <v>136139.41798436781</v>
      </c>
      <c r="BC309" s="62">
        <v>0</v>
      </c>
      <c r="BD309" s="62">
        <v>1941261.4715</v>
      </c>
      <c r="BE309" s="44">
        <v>1941261.4715</v>
      </c>
      <c r="BF309" s="44">
        <v>0</v>
      </c>
      <c r="BG309" s="62">
        <v>1941261.4715</v>
      </c>
      <c r="BH309" s="62">
        <v>1797956.46</v>
      </c>
      <c r="BI309" s="44">
        <v>1797956.46</v>
      </c>
      <c r="BJ309" s="44">
        <v>4280.8487142857139</v>
      </c>
      <c r="BK309" s="44">
        <v>4211.2434535714292</v>
      </c>
      <c r="BL309" s="45">
        <v>1.6528434293024436E-2</v>
      </c>
      <c r="BM309" s="45">
        <v>0</v>
      </c>
      <c r="BN309" s="44">
        <v>0</v>
      </c>
      <c r="BO309" s="62">
        <v>1941261.4715</v>
      </c>
      <c r="BP309" s="62">
        <v>4610</v>
      </c>
      <c r="BQ309" s="62" t="s">
        <v>92</v>
      </c>
      <c r="BR309" s="62">
        <v>4622.0511226190474</v>
      </c>
      <c r="BS309" s="53">
        <v>1.3417770895262082E-2</v>
      </c>
      <c r="BT309" s="44">
        <v>0</v>
      </c>
      <c r="BU309" s="44">
        <v>1941261.4715</v>
      </c>
      <c r="BV309" s="44">
        <v>0</v>
      </c>
      <c r="BW309" s="44">
        <v>1941261.4715</v>
      </c>
      <c r="BX309" s="44">
        <v>5061.4714999999997</v>
      </c>
      <c r="BY309" s="44">
        <v>1936200</v>
      </c>
    </row>
    <row r="310" spans="1:77">
      <c r="A310">
        <v>0</v>
      </c>
      <c r="B310" s="60">
        <v>143434</v>
      </c>
      <c r="C310" s="60">
        <v>3305205</v>
      </c>
      <c r="D310" s="61" t="s">
        <v>1015</v>
      </c>
      <c r="E310" s="52">
        <v>199</v>
      </c>
      <c r="F310" s="52">
        <v>199</v>
      </c>
      <c r="G310" s="52">
        <v>0</v>
      </c>
      <c r="H310" s="44">
        <v>711326.01740000001</v>
      </c>
      <c r="I310" s="44">
        <v>0</v>
      </c>
      <c r="J310" s="44">
        <v>0</v>
      </c>
      <c r="K310" s="44">
        <v>10817.837799999952</v>
      </c>
      <c r="L310" s="44">
        <v>0</v>
      </c>
      <c r="M310" s="44">
        <v>18103.32039999992</v>
      </c>
      <c r="N310" s="44">
        <v>0</v>
      </c>
      <c r="O310" s="44">
        <v>0</v>
      </c>
      <c r="P310" s="44">
        <v>572.00059999999962</v>
      </c>
      <c r="Q310" s="44">
        <v>7144.9904000000024</v>
      </c>
      <c r="R310" s="44">
        <v>5840.4275999999954</v>
      </c>
      <c r="S310" s="44">
        <v>3617.6531999999975</v>
      </c>
      <c r="T310" s="44">
        <v>2729.5471999999982</v>
      </c>
      <c r="U310" s="44">
        <v>0</v>
      </c>
      <c r="V310" s="44">
        <v>0</v>
      </c>
      <c r="W310" s="44">
        <v>0</v>
      </c>
      <c r="X310" s="44">
        <v>0</v>
      </c>
      <c r="Y310" s="44">
        <v>0</v>
      </c>
      <c r="Z310" s="44">
        <v>0</v>
      </c>
      <c r="AA310" s="44">
        <v>3465.356150000006</v>
      </c>
      <c r="AB310" s="44">
        <v>0</v>
      </c>
      <c r="AC310" s="44">
        <v>69737.845233333297</v>
      </c>
      <c r="AD310" s="44">
        <v>0</v>
      </c>
      <c r="AE310" s="44">
        <v>0</v>
      </c>
      <c r="AF310" s="44">
        <v>0</v>
      </c>
      <c r="AG310" s="44">
        <v>138243.54</v>
      </c>
      <c r="AH310" s="44">
        <v>0</v>
      </c>
      <c r="AI310" s="44">
        <v>0</v>
      </c>
      <c r="AJ310" s="44">
        <v>0</v>
      </c>
      <c r="AK310" s="44">
        <v>21941.863399999998</v>
      </c>
      <c r="AL310" s="44">
        <v>0</v>
      </c>
      <c r="AM310" s="44">
        <v>0</v>
      </c>
      <c r="AN310" s="44">
        <v>0</v>
      </c>
      <c r="AO310" s="44">
        <v>0</v>
      </c>
      <c r="AP310" s="44">
        <v>0</v>
      </c>
      <c r="AQ310" s="44">
        <v>0</v>
      </c>
      <c r="AR310" s="44">
        <v>0</v>
      </c>
      <c r="AS310" s="44">
        <v>0</v>
      </c>
      <c r="AT310" s="44">
        <v>711326.01740000001</v>
      </c>
      <c r="AU310" s="44">
        <v>122028.97858333317</v>
      </c>
      <c r="AV310" s="44">
        <v>160185.40340000001</v>
      </c>
      <c r="AW310" s="44">
        <v>129717.03470333324</v>
      </c>
      <c r="AX310" s="62">
        <v>993540.39938333328</v>
      </c>
      <c r="AY310" s="62">
        <v>971598.53598333325</v>
      </c>
      <c r="AZ310" s="62">
        <v>4610</v>
      </c>
      <c r="BA310" s="62">
        <v>917390</v>
      </c>
      <c r="BB310" s="62">
        <v>0</v>
      </c>
      <c r="BC310" s="62">
        <v>0</v>
      </c>
      <c r="BD310" s="62">
        <v>993540.39938333328</v>
      </c>
      <c r="BE310" s="44">
        <v>993540.39938333328</v>
      </c>
      <c r="BF310" s="44">
        <v>0</v>
      </c>
      <c r="BG310" s="62">
        <v>939331.86340000003</v>
      </c>
      <c r="BH310" s="62">
        <v>779146.46</v>
      </c>
      <c r="BI310" s="44">
        <v>833354.99598333321</v>
      </c>
      <c r="BJ310" s="44">
        <v>4187.7135476549411</v>
      </c>
      <c r="BK310" s="44">
        <v>4294.7133287878778</v>
      </c>
      <c r="BL310" s="45">
        <v>-2.4914301128251534E-2</v>
      </c>
      <c r="BM310" s="45">
        <v>2.9914301128251535E-2</v>
      </c>
      <c r="BN310" s="44">
        <v>25566.19620759835</v>
      </c>
      <c r="BO310" s="62">
        <v>1019106.5955909316</v>
      </c>
      <c r="BP310" s="62">
        <v>5010.8780512107114</v>
      </c>
      <c r="BQ310" s="62" t="s">
        <v>92</v>
      </c>
      <c r="BR310" s="62">
        <v>5121.1386713112142</v>
      </c>
      <c r="BS310" s="53">
        <v>2.0608358983029706E-2</v>
      </c>
      <c r="BT310" s="44">
        <v>0</v>
      </c>
      <c r="BU310" s="44">
        <v>1019106.5955909316</v>
      </c>
      <c r="BV310" s="44">
        <v>0</v>
      </c>
      <c r="BW310" s="44">
        <v>1019106.5955909316</v>
      </c>
      <c r="BX310" s="44">
        <v>21941.863399999998</v>
      </c>
      <c r="BY310" s="44">
        <v>997164.73219093157</v>
      </c>
    </row>
    <row r="311" spans="1:77">
      <c r="A311">
        <v>0</v>
      </c>
      <c r="B311" s="60">
        <v>143413</v>
      </c>
      <c r="C311" s="60">
        <v>3302168</v>
      </c>
      <c r="D311" s="61" t="s">
        <v>1016</v>
      </c>
      <c r="E311" s="52">
        <v>947</v>
      </c>
      <c r="F311" s="52">
        <v>0</v>
      </c>
      <c r="G311" s="52">
        <v>947</v>
      </c>
      <c r="H311" s="44">
        <v>0</v>
      </c>
      <c r="I311" s="44">
        <v>2691160.9248000002</v>
      </c>
      <c r="J311" s="44">
        <v>2346199.3513000002</v>
      </c>
      <c r="K311" s="44">
        <v>0</v>
      </c>
      <c r="L311" s="44">
        <v>242909.63060000009</v>
      </c>
      <c r="M311" s="44">
        <v>0</v>
      </c>
      <c r="N311" s="44">
        <v>661112.38800000015</v>
      </c>
      <c r="O311" s="44">
        <v>0</v>
      </c>
      <c r="P311" s="44">
        <v>0</v>
      </c>
      <c r="Q311" s="44">
        <v>0</v>
      </c>
      <c r="R311" s="44">
        <v>0</v>
      </c>
      <c r="S311" s="44">
        <v>0</v>
      </c>
      <c r="T311" s="44">
        <v>0</v>
      </c>
      <c r="U311" s="44">
        <v>51574.664502959909</v>
      </c>
      <c r="V311" s="44">
        <v>47465.969960359231</v>
      </c>
      <c r="W311" s="44">
        <v>36074.137169873145</v>
      </c>
      <c r="X311" s="44">
        <v>207946.1541120508</v>
      </c>
      <c r="Y311" s="44">
        <v>172464.71370993642</v>
      </c>
      <c r="Z311" s="44">
        <v>55060.522250951377</v>
      </c>
      <c r="AA311" s="44">
        <v>0</v>
      </c>
      <c r="AB311" s="44">
        <v>97178.286780645227</v>
      </c>
      <c r="AC311" s="44">
        <v>0</v>
      </c>
      <c r="AD311" s="44">
        <v>549337.17657595081</v>
      </c>
      <c r="AE311" s="44">
        <v>0</v>
      </c>
      <c r="AF311" s="44">
        <v>0</v>
      </c>
      <c r="AG311" s="44">
        <v>138243.54</v>
      </c>
      <c r="AH311" s="44">
        <v>0</v>
      </c>
      <c r="AI311" s="44">
        <v>0</v>
      </c>
      <c r="AJ311" s="44">
        <v>0</v>
      </c>
      <c r="AK311" s="44">
        <v>34929.864699999998</v>
      </c>
      <c r="AL311" s="44">
        <v>0</v>
      </c>
      <c r="AM311" s="44">
        <v>0</v>
      </c>
      <c r="AN311" s="44">
        <v>0</v>
      </c>
      <c r="AO311" s="44">
        <v>0</v>
      </c>
      <c r="AP311" s="44">
        <v>0</v>
      </c>
      <c r="AQ311" s="44">
        <v>0</v>
      </c>
      <c r="AR311" s="44">
        <v>0</v>
      </c>
      <c r="AS311" s="44">
        <v>0</v>
      </c>
      <c r="AT311" s="44">
        <v>5037360.2761000004</v>
      </c>
      <c r="AU311" s="44">
        <v>2121123.6436627274</v>
      </c>
      <c r="AV311" s="44">
        <v>173173.40470000001</v>
      </c>
      <c r="AW311" s="44">
        <v>1538509.2805340164</v>
      </c>
      <c r="AX311" s="62">
        <v>7331657.3244627276</v>
      </c>
      <c r="AY311" s="62">
        <v>7296727.4597627278</v>
      </c>
      <c r="AZ311" s="62">
        <v>5995</v>
      </c>
      <c r="BA311" s="62">
        <v>5677265</v>
      </c>
      <c r="BB311" s="62">
        <v>0</v>
      </c>
      <c r="BC311" s="62">
        <v>0</v>
      </c>
      <c r="BD311" s="62">
        <v>7331657.3244627276</v>
      </c>
      <c r="BE311" s="44">
        <v>0</v>
      </c>
      <c r="BF311" s="44">
        <v>7331657.3244627267</v>
      </c>
      <c r="BG311" s="62">
        <v>5712194.8646999998</v>
      </c>
      <c r="BH311" s="62">
        <v>5539021.46</v>
      </c>
      <c r="BI311" s="44">
        <v>7158483.9197627278</v>
      </c>
      <c r="BJ311" s="44">
        <v>7559.1171275213601</v>
      </c>
      <c r="BK311" s="44">
        <v>7435.0481337513065</v>
      </c>
      <c r="BL311" s="45">
        <v>1.6687046477459097E-2</v>
      </c>
      <c r="BM311" s="45">
        <v>0</v>
      </c>
      <c r="BN311" s="44">
        <v>0</v>
      </c>
      <c r="BO311" s="62">
        <v>7331657.3244627276</v>
      </c>
      <c r="BP311" s="62">
        <v>7705.0976343851398</v>
      </c>
      <c r="BQ311" s="62" t="s">
        <v>92</v>
      </c>
      <c r="BR311" s="62">
        <v>7741.9823911961221</v>
      </c>
      <c r="BS311" s="53">
        <v>1.8445613971951991E-2</v>
      </c>
      <c r="BT311" s="44">
        <v>0</v>
      </c>
      <c r="BU311" s="44">
        <v>7331657.3244627276</v>
      </c>
      <c r="BV311" s="44">
        <v>0</v>
      </c>
      <c r="BW311" s="44">
        <v>7331657.3244627276</v>
      </c>
      <c r="BX311" s="44">
        <v>34929.864699999998</v>
      </c>
      <c r="BY311" s="44">
        <v>7296727.4597627278</v>
      </c>
    </row>
    <row r="312" spans="1:77">
      <c r="A312">
        <v>0</v>
      </c>
      <c r="B312" s="60">
        <v>136944</v>
      </c>
      <c r="C312" s="60">
        <v>3304000</v>
      </c>
      <c r="D312" s="61" t="s">
        <v>1017</v>
      </c>
      <c r="E312" s="52">
        <v>365</v>
      </c>
      <c r="F312" s="52">
        <v>0</v>
      </c>
      <c r="G312" s="52">
        <v>365</v>
      </c>
      <c r="H312" s="44">
        <v>0</v>
      </c>
      <c r="I312" s="44">
        <v>0</v>
      </c>
      <c r="J312" s="44">
        <v>2073517.5865</v>
      </c>
      <c r="K312" s="44">
        <v>0</v>
      </c>
      <c r="L312" s="44">
        <v>23602.555199999912</v>
      </c>
      <c r="M312" s="44">
        <v>0</v>
      </c>
      <c r="N312" s="44">
        <v>66231.659999999858</v>
      </c>
      <c r="O312" s="44">
        <v>0</v>
      </c>
      <c r="P312" s="44">
        <v>0</v>
      </c>
      <c r="Q312" s="44">
        <v>0</v>
      </c>
      <c r="R312" s="44">
        <v>0</v>
      </c>
      <c r="S312" s="44">
        <v>0</v>
      </c>
      <c r="T312" s="44">
        <v>0</v>
      </c>
      <c r="U312" s="44">
        <v>11600.575600000006</v>
      </c>
      <c r="V312" s="44">
        <v>10386.328500000003</v>
      </c>
      <c r="W312" s="44">
        <v>6954.3243000000084</v>
      </c>
      <c r="X312" s="44">
        <v>12463.594200000003</v>
      </c>
      <c r="Y312" s="44">
        <v>14109.350599999987</v>
      </c>
      <c r="Z312" s="44">
        <v>12328.119700000005</v>
      </c>
      <c r="AA312" s="44">
        <v>0</v>
      </c>
      <c r="AB312" s="44">
        <v>3181.1265999999996</v>
      </c>
      <c r="AC312" s="44">
        <v>0</v>
      </c>
      <c r="AD312" s="44">
        <v>56622.67293226871</v>
      </c>
      <c r="AE312" s="44">
        <v>0</v>
      </c>
      <c r="AF312" s="44">
        <v>0</v>
      </c>
      <c r="AG312" s="44">
        <v>138243.54</v>
      </c>
      <c r="AH312" s="44">
        <v>0</v>
      </c>
      <c r="AI312" s="44">
        <v>0</v>
      </c>
      <c r="AJ312" s="44">
        <v>0</v>
      </c>
      <c r="AK312" s="44">
        <v>39749.760000000002</v>
      </c>
      <c r="AL312" s="44">
        <v>0</v>
      </c>
      <c r="AM312" s="44">
        <v>0</v>
      </c>
      <c r="AN312" s="44">
        <v>0</v>
      </c>
      <c r="AO312" s="44">
        <v>0</v>
      </c>
      <c r="AP312" s="44">
        <v>0</v>
      </c>
      <c r="AQ312" s="44">
        <v>0</v>
      </c>
      <c r="AR312" s="44">
        <v>0</v>
      </c>
      <c r="AS312" s="44">
        <v>0</v>
      </c>
      <c r="AT312" s="44">
        <v>2073517.5865</v>
      </c>
      <c r="AU312" s="44">
        <v>217480.30763226846</v>
      </c>
      <c r="AV312" s="44">
        <v>177993.30000000002</v>
      </c>
      <c r="AW312" s="44">
        <v>239136.80630726859</v>
      </c>
      <c r="AX312" s="62">
        <v>2468991.1941322684</v>
      </c>
      <c r="AY312" s="62">
        <v>2429241.4341322687</v>
      </c>
      <c r="AZ312" s="62">
        <v>6331</v>
      </c>
      <c r="BA312" s="62">
        <v>2310815</v>
      </c>
      <c r="BB312" s="62">
        <v>0</v>
      </c>
      <c r="BC312" s="62">
        <v>0</v>
      </c>
      <c r="BD312" s="62">
        <v>2468991.1941322684</v>
      </c>
      <c r="BE312" s="44">
        <v>0</v>
      </c>
      <c r="BF312" s="44">
        <v>2468991.1941322684</v>
      </c>
      <c r="BG312" s="62">
        <v>2350564.7599999998</v>
      </c>
      <c r="BH312" s="62">
        <v>2172571.46</v>
      </c>
      <c r="BI312" s="44">
        <v>2290997.8941322686</v>
      </c>
      <c r="BJ312" s="44">
        <v>6276.7065592664894</v>
      </c>
      <c r="BK312" s="44">
        <v>6145.1575811594184</v>
      </c>
      <c r="BL312" s="45">
        <v>2.1406933242914723E-2</v>
      </c>
      <c r="BM312" s="45">
        <v>0</v>
      </c>
      <c r="BN312" s="44">
        <v>0</v>
      </c>
      <c r="BO312" s="62">
        <v>2468991.1941322684</v>
      </c>
      <c r="BP312" s="62">
        <v>6655.4559839240237</v>
      </c>
      <c r="BQ312" s="62" t="s">
        <v>92</v>
      </c>
      <c r="BR312" s="62">
        <v>6764.3594359788176</v>
      </c>
      <c r="BS312" s="53">
        <v>1.8090903750156428E-2</v>
      </c>
      <c r="BT312" s="44">
        <v>0</v>
      </c>
      <c r="BU312" s="44">
        <v>2468991.1941322684</v>
      </c>
      <c r="BV312" s="44">
        <v>0</v>
      </c>
      <c r="BW312" s="44">
        <v>2468991.1941322684</v>
      </c>
      <c r="BX312" s="44">
        <v>39749.760000000002</v>
      </c>
      <c r="BY312" s="44">
        <v>2429241.4341322687</v>
      </c>
    </row>
    <row r="313" spans="1:77">
      <c r="A313">
        <v>0</v>
      </c>
      <c r="B313" s="60">
        <v>138222</v>
      </c>
      <c r="C313" s="60">
        <v>3304003</v>
      </c>
      <c r="D313" s="61" t="s">
        <v>1018</v>
      </c>
      <c r="E313" s="52">
        <v>241</v>
      </c>
      <c r="F313" s="52">
        <v>0</v>
      </c>
      <c r="G313" s="52">
        <v>241</v>
      </c>
      <c r="H313" s="44">
        <v>0</v>
      </c>
      <c r="I313" s="44">
        <v>403170.17599999998</v>
      </c>
      <c r="J313" s="44">
        <v>914620.08609999996</v>
      </c>
      <c r="K313" s="44">
        <v>0</v>
      </c>
      <c r="L313" s="44">
        <v>48680.270100000045</v>
      </c>
      <c r="M313" s="44">
        <v>0</v>
      </c>
      <c r="N313" s="44">
        <v>142097.01599999986</v>
      </c>
      <c r="O313" s="44">
        <v>0</v>
      </c>
      <c r="P313" s="44">
        <v>0</v>
      </c>
      <c r="Q313" s="44">
        <v>0</v>
      </c>
      <c r="R313" s="44">
        <v>0</v>
      </c>
      <c r="S313" s="44">
        <v>0</v>
      </c>
      <c r="T313" s="44">
        <v>0</v>
      </c>
      <c r="U313" s="44">
        <v>8529.8350000000082</v>
      </c>
      <c r="V313" s="44">
        <v>12192.646500000013</v>
      </c>
      <c r="W313" s="44">
        <v>15805.282500000018</v>
      </c>
      <c r="X313" s="44">
        <v>35313.516900000039</v>
      </c>
      <c r="Y313" s="44">
        <v>44555.844000000048</v>
      </c>
      <c r="Z313" s="44">
        <v>18018.021099999998</v>
      </c>
      <c r="AA313" s="44">
        <v>0</v>
      </c>
      <c r="AB313" s="44">
        <v>24261.123753164549</v>
      </c>
      <c r="AC313" s="44">
        <v>0</v>
      </c>
      <c r="AD313" s="44">
        <v>87946.853435511977</v>
      </c>
      <c r="AE313" s="44">
        <v>0</v>
      </c>
      <c r="AF313" s="44">
        <v>0</v>
      </c>
      <c r="AG313" s="44">
        <v>138243.54</v>
      </c>
      <c r="AH313" s="44">
        <v>0</v>
      </c>
      <c r="AI313" s="44">
        <v>0</v>
      </c>
      <c r="AJ313" s="44">
        <v>0</v>
      </c>
      <c r="AK313" s="44">
        <v>25453.936799999999</v>
      </c>
      <c r="AL313" s="44">
        <v>0</v>
      </c>
      <c r="AM313" s="44">
        <v>0</v>
      </c>
      <c r="AN313" s="44">
        <v>0</v>
      </c>
      <c r="AO313" s="44">
        <v>0</v>
      </c>
      <c r="AP313" s="44">
        <v>0</v>
      </c>
      <c r="AQ313" s="44">
        <v>0</v>
      </c>
      <c r="AR313" s="44">
        <v>0</v>
      </c>
      <c r="AS313" s="44">
        <v>0</v>
      </c>
      <c r="AT313" s="44">
        <v>1317790.2620999999</v>
      </c>
      <c r="AU313" s="44">
        <v>437400.40928867657</v>
      </c>
      <c r="AV313" s="44">
        <v>163697.4768</v>
      </c>
      <c r="AW313" s="44">
        <v>316432.58259051206</v>
      </c>
      <c r="AX313" s="62">
        <v>1918888.1481886765</v>
      </c>
      <c r="AY313" s="62">
        <v>1893434.2113886764</v>
      </c>
      <c r="AZ313" s="62">
        <v>6144.333333333333</v>
      </c>
      <c r="BA313" s="62">
        <v>1480784.3333333333</v>
      </c>
      <c r="BB313" s="62">
        <v>0</v>
      </c>
      <c r="BC313" s="62">
        <v>0</v>
      </c>
      <c r="BD313" s="62">
        <v>1918888.1481886765</v>
      </c>
      <c r="BE313" s="44">
        <v>0</v>
      </c>
      <c r="BF313" s="44">
        <v>1918888.1481886765</v>
      </c>
      <c r="BG313" s="62">
        <v>1506238.2701333333</v>
      </c>
      <c r="BH313" s="62">
        <v>1342540.7933333332</v>
      </c>
      <c r="BI313" s="44">
        <v>1755190.6713886764</v>
      </c>
      <c r="BJ313" s="44">
        <v>7282.9488439364168</v>
      </c>
      <c r="BK313" s="44">
        <v>7123.2747028688518</v>
      </c>
      <c r="BL313" s="45">
        <v>2.2415833689982116E-2</v>
      </c>
      <c r="BM313" s="45">
        <v>0</v>
      </c>
      <c r="BN313" s="44">
        <v>0</v>
      </c>
      <c r="BO313" s="62">
        <v>1918888.1481886765</v>
      </c>
      <c r="BP313" s="62">
        <v>7856.5734912393209</v>
      </c>
      <c r="BQ313" s="62" t="s">
        <v>92</v>
      </c>
      <c r="BR313" s="62">
        <v>7962.1914862600679</v>
      </c>
      <c r="BS313" s="53">
        <v>1.4549032954420005E-2</v>
      </c>
      <c r="BT313" s="44">
        <v>0</v>
      </c>
      <c r="BU313" s="44">
        <v>1918888.1481886765</v>
      </c>
      <c r="BV313" s="44">
        <v>0</v>
      </c>
      <c r="BW313" s="44">
        <v>1918888.1481886765</v>
      </c>
      <c r="BX313" s="44">
        <v>25453.936799999999</v>
      </c>
      <c r="BY313" s="44">
        <v>1893434.2113886764</v>
      </c>
    </row>
    <row r="314" spans="1:77">
      <c r="A314">
        <v>0</v>
      </c>
      <c r="B314" s="60">
        <v>138586</v>
      </c>
      <c r="C314" s="60">
        <v>3304004</v>
      </c>
      <c r="D314" s="61" t="s">
        <v>1019</v>
      </c>
      <c r="E314" s="52">
        <v>539</v>
      </c>
      <c r="F314" s="52">
        <v>0</v>
      </c>
      <c r="G314" s="52">
        <v>539</v>
      </c>
      <c r="H314" s="44">
        <v>0</v>
      </c>
      <c r="I314" s="44">
        <v>1673156.2304</v>
      </c>
      <c r="J314" s="44">
        <v>1175940.1107000001</v>
      </c>
      <c r="K314" s="44">
        <v>0</v>
      </c>
      <c r="L314" s="44">
        <v>76216.584499999997</v>
      </c>
      <c r="M314" s="44">
        <v>0</v>
      </c>
      <c r="N314" s="44">
        <v>209532.88799999974</v>
      </c>
      <c r="O314" s="44">
        <v>0</v>
      </c>
      <c r="P314" s="44">
        <v>0</v>
      </c>
      <c r="Q314" s="44">
        <v>0</v>
      </c>
      <c r="R314" s="44">
        <v>0</v>
      </c>
      <c r="S314" s="44">
        <v>0</v>
      </c>
      <c r="T314" s="44">
        <v>0</v>
      </c>
      <c r="U314" s="44">
        <v>19448.023799999966</v>
      </c>
      <c r="V314" s="44">
        <v>31158.985500000101</v>
      </c>
      <c r="W314" s="44">
        <v>40461.523199999952</v>
      </c>
      <c r="X314" s="44">
        <v>45699.8454000001</v>
      </c>
      <c r="Y314" s="44">
        <v>81685.71399999992</v>
      </c>
      <c r="Z314" s="44">
        <v>35087.725299999998</v>
      </c>
      <c r="AA314" s="44">
        <v>0</v>
      </c>
      <c r="AB314" s="44">
        <v>19265.47457752813</v>
      </c>
      <c r="AC314" s="44">
        <v>0</v>
      </c>
      <c r="AD314" s="44">
        <v>179640.9907904671</v>
      </c>
      <c r="AE314" s="44">
        <v>0</v>
      </c>
      <c r="AF314" s="44">
        <v>0</v>
      </c>
      <c r="AG314" s="44">
        <v>138243.54</v>
      </c>
      <c r="AH314" s="44">
        <v>0</v>
      </c>
      <c r="AI314" s="44">
        <v>0</v>
      </c>
      <c r="AJ314" s="44">
        <v>0</v>
      </c>
      <c r="AK314" s="44">
        <v>10440.9349</v>
      </c>
      <c r="AL314" s="44">
        <v>0</v>
      </c>
      <c r="AM314" s="44">
        <v>0</v>
      </c>
      <c r="AN314" s="44">
        <v>0</v>
      </c>
      <c r="AO314" s="44">
        <v>0</v>
      </c>
      <c r="AP314" s="44">
        <v>0</v>
      </c>
      <c r="AQ314" s="44">
        <v>0</v>
      </c>
      <c r="AR314" s="44">
        <v>0</v>
      </c>
      <c r="AS314" s="44">
        <v>0</v>
      </c>
      <c r="AT314" s="44">
        <v>2849096.3410999998</v>
      </c>
      <c r="AU314" s="44">
        <v>738197.75506799505</v>
      </c>
      <c r="AV314" s="44">
        <v>148684.4749</v>
      </c>
      <c r="AW314" s="44">
        <v>591741.45269546693</v>
      </c>
      <c r="AX314" s="62">
        <v>3735978.5710679945</v>
      </c>
      <c r="AY314" s="62">
        <v>3725537.6361679942</v>
      </c>
      <c r="AZ314" s="62">
        <v>5995</v>
      </c>
      <c r="BA314" s="62">
        <v>3231305</v>
      </c>
      <c r="BB314" s="62">
        <v>0</v>
      </c>
      <c r="BC314" s="62">
        <v>0</v>
      </c>
      <c r="BD314" s="62">
        <v>3735978.5710679945</v>
      </c>
      <c r="BE314" s="44">
        <v>0</v>
      </c>
      <c r="BF314" s="44">
        <v>3735978.5710679945</v>
      </c>
      <c r="BG314" s="62">
        <v>3241745.9349000002</v>
      </c>
      <c r="BH314" s="62">
        <v>3093061.46</v>
      </c>
      <c r="BI314" s="44">
        <v>3587294.0961679942</v>
      </c>
      <c r="BJ314" s="44">
        <v>6655.4621450241084</v>
      </c>
      <c r="BK314" s="44">
        <v>6527.0253890772128</v>
      </c>
      <c r="BL314" s="45">
        <v>1.9677685973434507E-2</v>
      </c>
      <c r="BM314" s="45">
        <v>0</v>
      </c>
      <c r="BN314" s="44">
        <v>0</v>
      </c>
      <c r="BO314" s="62">
        <v>3735978.5710679945</v>
      </c>
      <c r="BP314" s="62">
        <v>6911.9436663599154</v>
      </c>
      <c r="BQ314" s="62" t="s">
        <v>92</v>
      </c>
      <c r="BR314" s="62">
        <v>6931.3146030946091</v>
      </c>
      <c r="BS314" s="53">
        <v>1.4253025472752645E-2</v>
      </c>
      <c r="BT314" s="44">
        <v>0</v>
      </c>
      <c r="BU314" s="44">
        <v>3735978.5710679945</v>
      </c>
      <c r="BV314" s="44">
        <v>0</v>
      </c>
      <c r="BW314" s="44">
        <v>3735978.5710679945</v>
      </c>
      <c r="BX314" s="44">
        <v>10440.9349</v>
      </c>
      <c r="BY314" s="44">
        <v>3725537.6361679942</v>
      </c>
    </row>
    <row r="315" spans="1:77">
      <c r="A315">
        <v>0</v>
      </c>
      <c r="B315" s="60">
        <v>139047</v>
      </c>
      <c r="C315" s="60">
        <v>3304005</v>
      </c>
      <c r="D315" s="61" t="s">
        <v>1020</v>
      </c>
      <c r="E315" s="52">
        <v>557</v>
      </c>
      <c r="F315" s="52">
        <v>0</v>
      </c>
      <c r="G315" s="52">
        <v>557</v>
      </c>
      <c r="H315" s="44">
        <v>0</v>
      </c>
      <c r="I315" s="44">
        <v>1688275.112</v>
      </c>
      <c r="J315" s="44">
        <v>1261153.1622000001</v>
      </c>
      <c r="K315" s="44">
        <v>0</v>
      </c>
      <c r="L315" s="44">
        <v>153416.6088000001</v>
      </c>
      <c r="M315" s="44">
        <v>0</v>
      </c>
      <c r="N315" s="44">
        <v>427495.25999999995</v>
      </c>
      <c r="O315" s="44">
        <v>0</v>
      </c>
      <c r="P315" s="44">
        <v>0</v>
      </c>
      <c r="Q315" s="44">
        <v>0</v>
      </c>
      <c r="R315" s="44">
        <v>0</v>
      </c>
      <c r="S315" s="44">
        <v>0</v>
      </c>
      <c r="T315" s="44">
        <v>0</v>
      </c>
      <c r="U315" s="44">
        <v>4435.5142000000087</v>
      </c>
      <c r="V315" s="44">
        <v>6322.1130000000012</v>
      </c>
      <c r="W315" s="44">
        <v>51209.115300000136</v>
      </c>
      <c r="X315" s="44">
        <v>46392.267299999912</v>
      </c>
      <c r="Y315" s="44">
        <v>67576.363399999973</v>
      </c>
      <c r="Z315" s="44">
        <v>179231.89410000009</v>
      </c>
      <c r="AA315" s="44">
        <v>0</v>
      </c>
      <c r="AB315" s="44">
        <v>65330.385039748202</v>
      </c>
      <c r="AC315" s="44">
        <v>0</v>
      </c>
      <c r="AD315" s="44">
        <v>311843.77915420552</v>
      </c>
      <c r="AE315" s="44">
        <v>0</v>
      </c>
      <c r="AF315" s="44">
        <v>0</v>
      </c>
      <c r="AG315" s="44">
        <v>138243.54</v>
      </c>
      <c r="AH315" s="44">
        <v>0</v>
      </c>
      <c r="AI315" s="44">
        <v>0</v>
      </c>
      <c r="AJ315" s="44">
        <v>0</v>
      </c>
      <c r="AK315" s="44">
        <v>36039.782399999996</v>
      </c>
      <c r="AL315" s="44">
        <v>0</v>
      </c>
      <c r="AM315" s="44">
        <v>0</v>
      </c>
      <c r="AN315" s="44">
        <v>0</v>
      </c>
      <c r="AO315" s="44">
        <v>0</v>
      </c>
      <c r="AP315" s="44">
        <v>0</v>
      </c>
      <c r="AQ315" s="44">
        <v>0</v>
      </c>
      <c r="AR315" s="44">
        <v>0</v>
      </c>
      <c r="AS315" s="44">
        <v>0</v>
      </c>
      <c r="AT315" s="44">
        <v>2949428.2741999999</v>
      </c>
      <c r="AU315" s="44">
        <v>1313253.3002939539</v>
      </c>
      <c r="AV315" s="44">
        <v>174283.3224</v>
      </c>
      <c r="AW315" s="44">
        <v>927354.76091420557</v>
      </c>
      <c r="AX315" s="62">
        <v>4436964.8968939539</v>
      </c>
      <c r="AY315" s="62">
        <v>4400925.114493954</v>
      </c>
      <c r="AZ315" s="62">
        <v>5995</v>
      </c>
      <c r="BA315" s="62">
        <v>3339215</v>
      </c>
      <c r="BB315" s="62">
        <v>0</v>
      </c>
      <c r="BC315" s="62">
        <v>0</v>
      </c>
      <c r="BD315" s="62">
        <v>4436964.8968939539</v>
      </c>
      <c r="BE315" s="44">
        <v>0</v>
      </c>
      <c r="BF315" s="44">
        <v>4436964.8968939539</v>
      </c>
      <c r="BG315" s="62">
        <v>3375254.7823999999</v>
      </c>
      <c r="BH315" s="62">
        <v>3200971.46</v>
      </c>
      <c r="BI315" s="44">
        <v>4262681.574493954</v>
      </c>
      <c r="BJ315" s="44">
        <v>7652.9292181219998</v>
      </c>
      <c r="BK315" s="44">
        <v>7709.2229726962451</v>
      </c>
      <c r="BL315" s="45">
        <v>-7.3021308079453404E-3</v>
      </c>
      <c r="BM315" s="45">
        <v>1.2302130807945341E-2</v>
      </c>
      <c r="BN315" s="44">
        <v>52825.807276813626</v>
      </c>
      <c r="BO315" s="62">
        <v>4489790.7041707672</v>
      </c>
      <c r="BP315" s="62">
        <v>7995.9621575776791</v>
      </c>
      <c r="BQ315" s="62" t="s">
        <v>92</v>
      </c>
      <c r="BR315" s="62">
        <v>8060.6655371108927</v>
      </c>
      <c r="BS315" s="53">
        <v>1.2337153323938033E-2</v>
      </c>
      <c r="BT315" s="44">
        <v>0</v>
      </c>
      <c r="BU315" s="44">
        <v>4489790.7041707672</v>
      </c>
      <c r="BV315" s="44">
        <v>0</v>
      </c>
      <c r="BW315" s="44">
        <v>4489790.7041707672</v>
      </c>
      <c r="BX315" s="44">
        <v>36039.782399999996</v>
      </c>
      <c r="BY315" s="44">
        <v>4453750.9217707673</v>
      </c>
    </row>
    <row r="316" spans="1:77">
      <c r="A316">
        <v>0</v>
      </c>
      <c r="B316" s="60">
        <v>139048</v>
      </c>
      <c r="C316" s="60">
        <v>3304006</v>
      </c>
      <c r="D316" s="61" t="s">
        <v>1021</v>
      </c>
      <c r="E316" s="52">
        <v>883</v>
      </c>
      <c r="F316" s="52">
        <v>0</v>
      </c>
      <c r="G316" s="52">
        <v>883</v>
      </c>
      <c r="H316" s="44">
        <v>0</v>
      </c>
      <c r="I316" s="44">
        <v>2691160.9248000002</v>
      </c>
      <c r="J316" s="44">
        <v>1982623.6649</v>
      </c>
      <c r="K316" s="44">
        <v>0</v>
      </c>
      <c r="L316" s="44">
        <v>218323.63560000013</v>
      </c>
      <c r="M316" s="44">
        <v>0</v>
      </c>
      <c r="N316" s="44">
        <v>650274.47999999986</v>
      </c>
      <c r="O316" s="44">
        <v>0</v>
      </c>
      <c r="P316" s="44">
        <v>0</v>
      </c>
      <c r="Q316" s="44">
        <v>0</v>
      </c>
      <c r="R316" s="44">
        <v>0</v>
      </c>
      <c r="S316" s="44">
        <v>0</v>
      </c>
      <c r="T316" s="44">
        <v>0</v>
      </c>
      <c r="U316" s="44">
        <v>37573.826464852646</v>
      </c>
      <c r="V316" s="44">
        <v>14466.927836734696</v>
      </c>
      <c r="W316" s="44">
        <v>60761.096914285721</v>
      </c>
      <c r="X316" s="44">
        <v>56149.763666326558</v>
      </c>
      <c r="Y316" s="44">
        <v>208906.45655351473</v>
      </c>
      <c r="Z316" s="44">
        <v>224056.53305805015</v>
      </c>
      <c r="AA316" s="44">
        <v>0</v>
      </c>
      <c r="AB316" s="44">
        <v>27100.959927695836</v>
      </c>
      <c r="AC316" s="44">
        <v>0</v>
      </c>
      <c r="AD316" s="44">
        <v>427756.36738106067</v>
      </c>
      <c r="AE316" s="44">
        <v>0</v>
      </c>
      <c r="AF316" s="44">
        <v>0</v>
      </c>
      <c r="AG316" s="44">
        <v>138243.54</v>
      </c>
      <c r="AH316" s="44">
        <v>0</v>
      </c>
      <c r="AI316" s="44">
        <v>0</v>
      </c>
      <c r="AJ316" s="44">
        <v>0</v>
      </c>
      <c r="AK316" s="44">
        <v>14839.910400000001</v>
      </c>
      <c r="AL316" s="44">
        <v>0</v>
      </c>
      <c r="AM316" s="44">
        <v>0</v>
      </c>
      <c r="AN316" s="44">
        <v>0</v>
      </c>
      <c r="AO316" s="44">
        <v>0</v>
      </c>
      <c r="AP316" s="44">
        <v>0</v>
      </c>
      <c r="AQ316" s="44">
        <v>0</v>
      </c>
      <c r="AR316" s="44">
        <v>0</v>
      </c>
      <c r="AS316" s="44">
        <v>0</v>
      </c>
      <c r="AT316" s="44">
        <v>4673784.5897000004</v>
      </c>
      <c r="AU316" s="44">
        <v>1925370.0474025209</v>
      </c>
      <c r="AV316" s="44">
        <v>153083.4504</v>
      </c>
      <c r="AW316" s="44">
        <v>1396701.9569129432</v>
      </c>
      <c r="AX316" s="62">
        <v>6752238.0875025215</v>
      </c>
      <c r="AY316" s="62">
        <v>6737398.1771025211</v>
      </c>
      <c r="AZ316" s="62">
        <v>5995</v>
      </c>
      <c r="BA316" s="62">
        <v>5293585</v>
      </c>
      <c r="BB316" s="62">
        <v>0</v>
      </c>
      <c r="BC316" s="62">
        <v>0</v>
      </c>
      <c r="BD316" s="62">
        <v>6752238.0875025215</v>
      </c>
      <c r="BE316" s="44">
        <v>0</v>
      </c>
      <c r="BF316" s="44">
        <v>6752238.0875025205</v>
      </c>
      <c r="BG316" s="62">
        <v>5308424.9104000004</v>
      </c>
      <c r="BH316" s="62">
        <v>5155341.46</v>
      </c>
      <c r="BI316" s="44">
        <v>6599154.637102521</v>
      </c>
      <c r="BJ316" s="44">
        <v>7473.561310421881</v>
      </c>
      <c r="BK316" s="44">
        <v>7391.5660331848549</v>
      </c>
      <c r="BL316" s="45">
        <v>1.1093085939962341E-2</v>
      </c>
      <c r="BM316" s="45">
        <v>0</v>
      </c>
      <c r="BN316" s="44">
        <v>0</v>
      </c>
      <c r="BO316" s="62">
        <v>6752238.0875025215</v>
      </c>
      <c r="BP316" s="62">
        <v>7630.1225108748822</v>
      </c>
      <c r="BQ316" s="62" t="s">
        <v>92</v>
      </c>
      <c r="BR316" s="62">
        <v>7646.9287514184844</v>
      </c>
      <c r="BS316" s="53">
        <v>8.234217360311602E-3</v>
      </c>
      <c r="BT316" s="44">
        <v>0</v>
      </c>
      <c r="BU316" s="44">
        <v>6752238.0875025215</v>
      </c>
      <c r="BV316" s="44">
        <v>0</v>
      </c>
      <c r="BW316" s="44">
        <v>6752238.0875025215</v>
      </c>
      <c r="BX316" s="44">
        <v>14839.910400000001</v>
      </c>
      <c r="BY316" s="44">
        <v>6737398.1771025211</v>
      </c>
    </row>
    <row r="317" spans="1:77">
      <c r="A317">
        <v>0</v>
      </c>
      <c r="B317" s="60">
        <v>139788</v>
      </c>
      <c r="C317" s="60">
        <v>3304010</v>
      </c>
      <c r="D317" s="61" t="s">
        <v>1022</v>
      </c>
      <c r="E317" s="52">
        <v>133</v>
      </c>
      <c r="F317" s="52">
        <v>0</v>
      </c>
      <c r="G317" s="52">
        <v>133</v>
      </c>
      <c r="H317" s="44">
        <v>0</v>
      </c>
      <c r="I317" s="44">
        <v>0</v>
      </c>
      <c r="J317" s="44">
        <v>755555.72329999995</v>
      </c>
      <c r="K317" s="44">
        <v>0</v>
      </c>
      <c r="L317" s="44">
        <v>20160.515899999977</v>
      </c>
      <c r="M317" s="44">
        <v>0</v>
      </c>
      <c r="N317" s="44">
        <v>68640.084000000061</v>
      </c>
      <c r="O317" s="44">
        <v>0</v>
      </c>
      <c r="P317" s="44">
        <v>0</v>
      </c>
      <c r="Q317" s="44">
        <v>0</v>
      </c>
      <c r="R317" s="44">
        <v>0</v>
      </c>
      <c r="S317" s="44">
        <v>0</v>
      </c>
      <c r="T317" s="44">
        <v>0</v>
      </c>
      <c r="U317" s="44">
        <v>5459.094399999989</v>
      </c>
      <c r="V317" s="44">
        <v>10837.908000000009</v>
      </c>
      <c r="W317" s="44">
        <v>12644.225999999997</v>
      </c>
      <c r="X317" s="44">
        <v>24927.188399999977</v>
      </c>
      <c r="Y317" s="44">
        <v>15594.545399999974</v>
      </c>
      <c r="Z317" s="44">
        <v>8534.8520999999964</v>
      </c>
      <c r="AA317" s="44">
        <v>0</v>
      </c>
      <c r="AB317" s="44">
        <v>104977.17779999992</v>
      </c>
      <c r="AC317" s="44">
        <v>0</v>
      </c>
      <c r="AD317" s="44">
        <v>66879.362433768605</v>
      </c>
      <c r="AE317" s="44">
        <v>0</v>
      </c>
      <c r="AF317" s="44">
        <v>22436.987457818213</v>
      </c>
      <c r="AG317" s="44">
        <v>138243.54</v>
      </c>
      <c r="AH317" s="44">
        <v>0</v>
      </c>
      <c r="AI317" s="44">
        <v>0</v>
      </c>
      <c r="AJ317" s="44">
        <v>0</v>
      </c>
      <c r="AK317" s="44">
        <v>13355.917299999999</v>
      </c>
      <c r="AL317" s="44">
        <v>0</v>
      </c>
      <c r="AM317" s="44">
        <v>0</v>
      </c>
      <c r="AN317" s="44">
        <v>0</v>
      </c>
      <c r="AO317" s="44">
        <v>0</v>
      </c>
      <c r="AP317" s="44">
        <v>0</v>
      </c>
      <c r="AQ317" s="44">
        <v>0</v>
      </c>
      <c r="AR317" s="44">
        <v>0</v>
      </c>
      <c r="AS317" s="44">
        <v>0</v>
      </c>
      <c r="AT317" s="44">
        <v>755555.72329999995</v>
      </c>
      <c r="AU317" s="44">
        <v>361091.94189158676</v>
      </c>
      <c r="AV317" s="44">
        <v>151599.45730000001</v>
      </c>
      <c r="AW317" s="44">
        <v>188056.35569876857</v>
      </c>
      <c r="AX317" s="62">
        <v>1268247.1224915865</v>
      </c>
      <c r="AY317" s="62">
        <v>1254891.2051915864</v>
      </c>
      <c r="AZ317" s="62">
        <v>6331</v>
      </c>
      <c r="BA317" s="62">
        <v>842023</v>
      </c>
      <c r="BB317" s="62">
        <v>0</v>
      </c>
      <c r="BC317" s="62">
        <v>0</v>
      </c>
      <c r="BD317" s="62">
        <v>1268247.1224915865</v>
      </c>
      <c r="BE317" s="44">
        <v>0</v>
      </c>
      <c r="BF317" s="44">
        <v>1268247.1224915865</v>
      </c>
      <c r="BG317" s="62">
        <v>855378.91729999997</v>
      </c>
      <c r="BH317" s="62">
        <v>703779.46</v>
      </c>
      <c r="BI317" s="44">
        <v>1116647.6651915864</v>
      </c>
      <c r="BJ317" s="44">
        <v>8395.8471067036571</v>
      </c>
      <c r="BK317" s="44">
        <v>8344.166071317828</v>
      </c>
      <c r="BL317" s="45">
        <v>6.1936729139988097E-3</v>
      </c>
      <c r="BM317" s="45">
        <v>0</v>
      </c>
      <c r="BN317" s="44">
        <v>0</v>
      </c>
      <c r="BO317" s="62">
        <v>1268247.1224915865</v>
      </c>
      <c r="BP317" s="62">
        <v>9435.2722194856124</v>
      </c>
      <c r="BQ317" s="62" t="s">
        <v>92</v>
      </c>
      <c r="BR317" s="62">
        <v>9535.6926503126797</v>
      </c>
      <c r="BS317" s="53">
        <v>8.5896412332986394E-4</v>
      </c>
      <c r="BT317" s="44">
        <v>0</v>
      </c>
      <c r="BU317" s="44">
        <v>1268247.1224915865</v>
      </c>
      <c r="BV317" s="44">
        <v>0</v>
      </c>
      <c r="BW317" s="44">
        <v>1268247.1224915865</v>
      </c>
      <c r="BX317" s="44">
        <v>13355.917299999999</v>
      </c>
      <c r="BY317" s="44">
        <v>1254891.2051915864</v>
      </c>
    </row>
    <row r="318" spans="1:77">
      <c r="A318">
        <v>0</v>
      </c>
      <c r="B318" s="60">
        <v>137346</v>
      </c>
      <c r="C318" s="60">
        <v>3304012</v>
      </c>
      <c r="D318" s="61" t="s">
        <v>1023</v>
      </c>
      <c r="E318" s="52">
        <v>604</v>
      </c>
      <c r="F318" s="52">
        <v>0</v>
      </c>
      <c r="G318" s="52">
        <v>604</v>
      </c>
      <c r="H318" s="44">
        <v>0</v>
      </c>
      <c r="I318" s="44">
        <v>1854582.8096</v>
      </c>
      <c r="J318" s="44">
        <v>1340685.3436</v>
      </c>
      <c r="K318" s="44">
        <v>0</v>
      </c>
      <c r="L318" s="44">
        <v>142107.05110000001</v>
      </c>
      <c r="M318" s="44">
        <v>0</v>
      </c>
      <c r="N318" s="44">
        <v>393777.32399999985</v>
      </c>
      <c r="O318" s="44">
        <v>0</v>
      </c>
      <c r="P318" s="44">
        <v>0</v>
      </c>
      <c r="Q318" s="44">
        <v>0</v>
      </c>
      <c r="R318" s="44">
        <v>0</v>
      </c>
      <c r="S318" s="44">
        <v>0</v>
      </c>
      <c r="T318" s="44">
        <v>0</v>
      </c>
      <c r="U318" s="44">
        <v>8202.2214368159166</v>
      </c>
      <c r="V318" s="44">
        <v>24878.061343283582</v>
      </c>
      <c r="W318" s="44">
        <v>31029.727420895528</v>
      </c>
      <c r="X318" s="44">
        <v>57566.326187064886</v>
      </c>
      <c r="Y318" s="44">
        <v>144302.80753300153</v>
      </c>
      <c r="Z318" s="44">
        <v>116836.41647562214</v>
      </c>
      <c r="AA318" s="44">
        <v>0</v>
      </c>
      <c r="AB318" s="44">
        <v>127245.06400000019</v>
      </c>
      <c r="AC318" s="44">
        <v>0</v>
      </c>
      <c r="AD318" s="44">
        <v>272984.20301728323</v>
      </c>
      <c r="AE318" s="44">
        <v>0</v>
      </c>
      <c r="AF318" s="44">
        <v>54194.998025770314</v>
      </c>
      <c r="AG318" s="44">
        <v>138243.54</v>
      </c>
      <c r="AH318" s="44">
        <v>0</v>
      </c>
      <c r="AI318" s="44">
        <v>0</v>
      </c>
      <c r="AJ318" s="44">
        <v>0</v>
      </c>
      <c r="AK318" s="44">
        <v>17807.8966</v>
      </c>
      <c r="AL318" s="44">
        <v>0</v>
      </c>
      <c r="AM318" s="44">
        <v>0</v>
      </c>
      <c r="AN318" s="44">
        <v>0</v>
      </c>
      <c r="AO318" s="44">
        <v>0</v>
      </c>
      <c r="AP318" s="44">
        <v>0</v>
      </c>
      <c r="AQ318" s="44">
        <v>0</v>
      </c>
      <c r="AR318" s="44">
        <v>0</v>
      </c>
      <c r="AS318" s="44">
        <v>0</v>
      </c>
      <c r="AT318" s="44">
        <v>3195268.1532000001</v>
      </c>
      <c r="AU318" s="44">
        <v>1373124.200539737</v>
      </c>
      <c r="AV318" s="44">
        <v>156051.43660000002</v>
      </c>
      <c r="AW318" s="44">
        <v>892097.57842562499</v>
      </c>
      <c r="AX318" s="62">
        <v>4724443.7903397363</v>
      </c>
      <c r="AY318" s="62">
        <v>4706635.8937397366</v>
      </c>
      <c r="AZ318" s="62">
        <v>5995</v>
      </c>
      <c r="BA318" s="62">
        <v>3620980</v>
      </c>
      <c r="BB318" s="62">
        <v>0</v>
      </c>
      <c r="BC318" s="62">
        <v>0</v>
      </c>
      <c r="BD318" s="62">
        <v>4724443.7903397363</v>
      </c>
      <c r="BE318" s="44">
        <v>0</v>
      </c>
      <c r="BF318" s="44">
        <v>4724443.7903397363</v>
      </c>
      <c r="BG318" s="62">
        <v>3638787.8966000001</v>
      </c>
      <c r="BH318" s="62">
        <v>3482736.46</v>
      </c>
      <c r="BI318" s="44">
        <v>4568392.3537397366</v>
      </c>
      <c r="BJ318" s="44">
        <v>7563.5634995691007</v>
      </c>
      <c r="BK318" s="44">
        <v>7404.1892133680558</v>
      </c>
      <c r="BL318" s="45">
        <v>2.1524880254721088E-2</v>
      </c>
      <c r="BM318" s="45">
        <v>0</v>
      </c>
      <c r="BN318" s="44">
        <v>0</v>
      </c>
      <c r="BO318" s="62">
        <v>4724443.7903397363</v>
      </c>
      <c r="BP318" s="62">
        <v>7792.4435326816829</v>
      </c>
      <c r="BQ318" s="62" t="s">
        <v>92</v>
      </c>
      <c r="BR318" s="62">
        <v>7821.926805198239</v>
      </c>
      <c r="BS318" s="53">
        <v>2.0245907697661103E-2</v>
      </c>
      <c r="BT318" s="44">
        <v>0</v>
      </c>
      <c r="BU318" s="44">
        <v>4724443.7903397363</v>
      </c>
      <c r="BV318" s="44">
        <v>0</v>
      </c>
      <c r="BW318" s="44">
        <v>4724443.7903397363</v>
      </c>
      <c r="BX318" s="44">
        <v>17807.8966</v>
      </c>
      <c r="BY318" s="44">
        <v>4706635.8937397366</v>
      </c>
    </row>
    <row r="319" spans="1:77">
      <c r="A319">
        <v>0</v>
      </c>
      <c r="B319" s="60">
        <v>140014</v>
      </c>
      <c r="C319" s="60">
        <v>3304013</v>
      </c>
      <c r="D319" s="61" t="s">
        <v>1024</v>
      </c>
      <c r="E319" s="52">
        <v>906</v>
      </c>
      <c r="F319" s="52">
        <v>0</v>
      </c>
      <c r="G319" s="52">
        <v>906</v>
      </c>
      <c r="H319" s="44">
        <v>0</v>
      </c>
      <c r="I319" s="44">
        <v>2741557.1968</v>
      </c>
      <c r="J319" s="44">
        <v>2056474.9761999999</v>
      </c>
      <c r="K319" s="44">
        <v>0</v>
      </c>
      <c r="L319" s="44">
        <v>205047.19830000016</v>
      </c>
      <c r="M319" s="44">
        <v>0</v>
      </c>
      <c r="N319" s="44">
        <v>647866.05599999963</v>
      </c>
      <c r="O319" s="44">
        <v>0</v>
      </c>
      <c r="P319" s="44">
        <v>0</v>
      </c>
      <c r="Q319" s="44">
        <v>0</v>
      </c>
      <c r="R319" s="44">
        <v>0</v>
      </c>
      <c r="S319" s="44">
        <v>0</v>
      </c>
      <c r="T319" s="44">
        <v>0</v>
      </c>
      <c r="U319" s="44">
        <v>4776.707600000007</v>
      </c>
      <c r="V319" s="44">
        <v>24836.872499999994</v>
      </c>
      <c r="W319" s="44">
        <v>59427.862199999741</v>
      </c>
      <c r="X319" s="44">
        <v>321283.76160000009</v>
      </c>
      <c r="Y319" s="44">
        <v>127726.75280000032</v>
      </c>
      <c r="Z319" s="44">
        <v>92935.056199999963</v>
      </c>
      <c r="AA319" s="44">
        <v>0</v>
      </c>
      <c r="AB319" s="44">
        <v>106567.7411</v>
      </c>
      <c r="AC319" s="44">
        <v>0</v>
      </c>
      <c r="AD319" s="44">
        <v>443356.01562684454</v>
      </c>
      <c r="AE319" s="44">
        <v>0</v>
      </c>
      <c r="AF319" s="44">
        <v>0</v>
      </c>
      <c r="AG319" s="44">
        <v>138243.54</v>
      </c>
      <c r="AH319" s="44">
        <v>0</v>
      </c>
      <c r="AI319" s="44">
        <v>0</v>
      </c>
      <c r="AJ319" s="44">
        <v>0</v>
      </c>
      <c r="AK319" s="44">
        <v>65719.603199999998</v>
      </c>
      <c r="AL319" s="44">
        <v>0</v>
      </c>
      <c r="AM319" s="44">
        <v>0</v>
      </c>
      <c r="AN319" s="44">
        <v>0</v>
      </c>
      <c r="AO319" s="44">
        <v>0</v>
      </c>
      <c r="AP319" s="44">
        <v>0</v>
      </c>
      <c r="AQ319" s="44">
        <v>0</v>
      </c>
      <c r="AR319" s="44">
        <v>0</v>
      </c>
      <c r="AS319" s="44">
        <v>0</v>
      </c>
      <c r="AT319" s="44">
        <v>4798032.1730000004</v>
      </c>
      <c r="AU319" s="44">
        <v>2033824.0239268444</v>
      </c>
      <c r="AV319" s="44">
        <v>203963.14319999999</v>
      </c>
      <c r="AW319" s="44">
        <v>1425207.7578768446</v>
      </c>
      <c r="AX319" s="62">
        <v>7035819.3401268451</v>
      </c>
      <c r="AY319" s="62">
        <v>6970099.7369268453</v>
      </c>
      <c r="AZ319" s="62">
        <v>5995</v>
      </c>
      <c r="BA319" s="62">
        <v>5431470</v>
      </c>
      <c r="BB319" s="62">
        <v>0</v>
      </c>
      <c r="BC319" s="62">
        <v>0</v>
      </c>
      <c r="BD319" s="62">
        <v>7035819.3401268451</v>
      </c>
      <c r="BE319" s="44">
        <v>0</v>
      </c>
      <c r="BF319" s="44">
        <v>7035819.3401268441</v>
      </c>
      <c r="BG319" s="62">
        <v>5497189.6031999998</v>
      </c>
      <c r="BH319" s="62">
        <v>5293226.46</v>
      </c>
      <c r="BI319" s="44">
        <v>6831856.1969268452</v>
      </c>
      <c r="BJ319" s="44">
        <v>7540.680129058328</v>
      </c>
      <c r="BK319" s="44">
        <v>7514.3543670786512</v>
      </c>
      <c r="BL319" s="45">
        <v>3.5033963922454017E-3</v>
      </c>
      <c r="BM319" s="45">
        <v>1.4966036077545984E-3</v>
      </c>
      <c r="BN319" s="44">
        <v>10188.884929279087</v>
      </c>
      <c r="BO319" s="62">
        <v>7046008.2250561239</v>
      </c>
      <c r="BP319" s="62">
        <v>7704.5128276557662</v>
      </c>
      <c r="BQ319" s="62" t="s">
        <v>92</v>
      </c>
      <c r="BR319" s="62">
        <v>7777.0510210332495</v>
      </c>
      <c r="BS319" s="53">
        <v>1.1437050669321991E-2</v>
      </c>
      <c r="BT319" s="44">
        <v>0</v>
      </c>
      <c r="BU319" s="44">
        <v>7046008.2250561239</v>
      </c>
      <c r="BV319" s="44">
        <v>0</v>
      </c>
      <c r="BW319" s="44">
        <v>7046008.2250561239</v>
      </c>
      <c r="BX319" s="44">
        <v>65719.603199999998</v>
      </c>
      <c r="BY319" s="44">
        <v>6980288.6218561241</v>
      </c>
    </row>
    <row r="320" spans="1:77">
      <c r="A320">
        <v>0</v>
      </c>
      <c r="B320" s="60">
        <v>140863</v>
      </c>
      <c r="C320" s="60">
        <v>3304014</v>
      </c>
      <c r="D320" s="61" t="s">
        <v>1025</v>
      </c>
      <c r="E320" s="52">
        <v>766</v>
      </c>
      <c r="F320" s="52">
        <v>0</v>
      </c>
      <c r="G320" s="52">
        <v>766</v>
      </c>
      <c r="H320" s="44">
        <v>0</v>
      </c>
      <c r="I320" s="44">
        <v>2237594.4767999998</v>
      </c>
      <c r="J320" s="44">
        <v>1829240.1721999999</v>
      </c>
      <c r="K320" s="44">
        <v>0</v>
      </c>
      <c r="L320" s="44">
        <v>127355.45409999989</v>
      </c>
      <c r="M320" s="44">
        <v>0</v>
      </c>
      <c r="N320" s="44">
        <v>348017.26799999987</v>
      </c>
      <c r="O320" s="44">
        <v>0</v>
      </c>
      <c r="P320" s="44">
        <v>0</v>
      </c>
      <c r="Q320" s="44">
        <v>0</v>
      </c>
      <c r="R320" s="44">
        <v>0</v>
      </c>
      <c r="S320" s="44">
        <v>0</v>
      </c>
      <c r="T320" s="44">
        <v>0</v>
      </c>
      <c r="U320" s="44">
        <v>19106.830399999999</v>
      </c>
      <c r="V320" s="44">
        <v>27546.349499999993</v>
      </c>
      <c r="W320" s="44">
        <v>63853.341299999869</v>
      </c>
      <c r="X320" s="44">
        <v>78936.096599999786</v>
      </c>
      <c r="Y320" s="44">
        <v>143321.29820000002</v>
      </c>
      <c r="Z320" s="44">
        <v>36984.359099999972</v>
      </c>
      <c r="AA320" s="44">
        <v>0</v>
      </c>
      <c r="AB320" s="44">
        <v>70167.991443979045</v>
      </c>
      <c r="AC320" s="44">
        <v>0</v>
      </c>
      <c r="AD320" s="44">
        <v>276917.42844792613</v>
      </c>
      <c r="AE320" s="44">
        <v>0</v>
      </c>
      <c r="AF320" s="44">
        <v>0</v>
      </c>
      <c r="AG320" s="44">
        <v>138243.54</v>
      </c>
      <c r="AH320" s="44">
        <v>0</v>
      </c>
      <c r="AI320" s="44">
        <v>0</v>
      </c>
      <c r="AJ320" s="44">
        <v>0</v>
      </c>
      <c r="AK320" s="44">
        <v>3815.9749000000002</v>
      </c>
      <c r="AL320" s="44">
        <v>0</v>
      </c>
      <c r="AM320" s="44">
        <v>0</v>
      </c>
      <c r="AN320" s="44">
        <v>0</v>
      </c>
      <c r="AO320" s="44">
        <v>0</v>
      </c>
      <c r="AP320" s="44">
        <v>0</v>
      </c>
      <c r="AQ320" s="44">
        <v>0</v>
      </c>
      <c r="AR320" s="44">
        <v>0</v>
      </c>
      <c r="AS320" s="44">
        <v>0</v>
      </c>
      <c r="AT320" s="44">
        <v>4066834.6489999997</v>
      </c>
      <c r="AU320" s="44">
        <v>1192206.4170919047</v>
      </c>
      <c r="AV320" s="44">
        <v>142059.51490000001</v>
      </c>
      <c r="AW320" s="44">
        <v>902819.65949792578</v>
      </c>
      <c r="AX320" s="62">
        <v>5401100.5809919043</v>
      </c>
      <c r="AY320" s="62">
        <v>5397284.6060919045</v>
      </c>
      <c r="AZ320" s="62">
        <v>5995</v>
      </c>
      <c r="BA320" s="62">
        <v>4592170</v>
      </c>
      <c r="BB320" s="62">
        <v>0</v>
      </c>
      <c r="BC320" s="62">
        <v>0</v>
      </c>
      <c r="BD320" s="62">
        <v>5401100.5809919043</v>
      </c>
      <c r="BE320" s="44">
        <v>0</v>
      </c>
      <c r="BF320" s="44">
        <v>5401100.5809919033</v>
      </c>
      <c r="BG320" s="62">
        <v>4595985.9748999998</v>
      </c>
      <c r="BH320" s="62">
        <v>4453926.46</v>
      </c>
      <c r="BI320" s="44">
        <v>5259041.0660919044</v>
      </c>
      <c r="BJ320" s="44">
        <v>6865.5888591278126</v>
      </c>
      <c r="BK320" s="44">
        <v>6679.1043293814428</v>
      </c>
      <c r="BL320" s="45">
        <v>2.7920589430834707E-2</v>
      </c>
      <c r="BM320" s="45">
        <v>0</v>
      </c>
      <c r="BN320" s="44">
        <v>0</v>
      </c>
      <c r="BO320" s="62">
        <v>5401100.5809919043</v>
      </c>
      <c r="BP320" s="62">
        <v>7046.0634544280738</v>
      </c>
      <c r="BQ320" s="62" t="s">
        <v>92</v>
      </c>
      <c r="BR320" s="62">
        <v>7051.0451448980475</v>
      </c>
      <c r="BS320" s="53">
        <v>1.6077353237130332E-2</v>
      </c>
      <c r="BT320" s="44">
        <v>0</v>
      </c>
      <c r="BU320" s="44">
        <v>5401100.5809919043</v>
      </c>
      <c r="BV320" s="44">
        <v>0</v>
      </c>
      <c r="BW320" s="44">
        <v>5401100.5809919043</v>
      </c>
      <c r="BX320" s="44">
        <v>3815.9749000000002</v>
      </c>
      <c r="BY320" s="44">
        <v>5397284.6060919045</v>
      </c>
    </row>
    <row r="321" spans="1:77">
      <c r="A321">
        <v>0</v>
      </c>
      <c r="B321" s="60">
        <v>141003</v>
      </c>
      <c r="C321" s="60">
        <v>3304016</v>
      </c>
      <c r="D321" s="61" t="s">
        <v>1026</v>
      </c>
      <c r="E321" s="52">
        <v>642</v>
      </c>
      <c r="F321" s="52">
        <v>0</v>
      </c>
      <c r="G321" s="52">
        <v>642</v>
      </c>
      <c r="H321" s="44">
        <v>0</v>
      </c>
      <c r="I321" s="44">
        <v>1859622.4368</v>
      </c>
      <c r="J321" s="44">
        <v>1550877.5373</v>
      </c>
      <c r="K321" s="44">
        <v>0</v>
      </c>
      <c r="L321" s="44">
        <v>161284.1271999999</v>
      </c>
      <c r="M321" s="44">
        <v>0</v>
      </c>
      <c r="N321" s="44">
        <v>469642.68000000023</v>
      </c>
      <c r="O321" s="44">
        <v>0</v>
      </c>
      <c r="P321" s="44">
        <v>0</v>
      </c>
      <c r="Q321" s="44">
        <v>0</v>
      </c>
      <c r="R321" s="44">
        <v>0</v>
      </c>
      <c r="S321" s="44">
        <v>0</v>
      </c>
      <c r="T321" s="44">
        <v>0</v>
      </c>
      <c r="U321" s="44">
        <v>5467.6109279251168</v>
      </c>
      <c r="V321" s="44">
        <v>14473.087750390016</v>
      </c>
      <c r="W321" s="44">
        <v>35459.064988455546</v>
      </c>
      <c r="X321" s="44">
        <v>72124.220622776746</v>
      </c>
      <c r="Y321" s="44">
        <v>158420.00633447725</v>
      </c>
      <c r="Z321" s="44">
        <v>185210.28504056134</v>
      </c>
      <c r="AA321" s="44">
        <v>0</v>
      </c>
      <c r="AB321" s="44">
        <v>166195.19626666667</v>
      </c>
      <c r="AC321" s="44">
        <v>0</v>
      </c>
      <c r="AD321" s="44">
        <v>366448.17056099931</v>
      </c>
      <c r="AE321" s="44">
        <v>0</v>
      </c>
      <c r="AF321" s="44">
        <v>37235.020231523777</v>
      </c>
      <c r="AG321" s="44">
        <v>138243.54</v>
      </c>
      <c r="AH321" s="44">
        <v>0</v>
      </c>
      <c r="AI321" s="44">
        <v>0</v>
      </c>
      <c r="AJ321" s="44">
        <v>0</v>
      </c>
      <c r="AK321" s="44">
        <v>22895.859700000001</v>
      </c>
      <c r="AL321" s="44">
        <v>0</v>
      </c>
      <c r="AM321" s="44">
        <v>0</v>
      </c>
      <c r="AN321" s="44">
        <v>0</v>
      </c>
      <c r="AO321" s="44">
        <v>0</v>
      </c>
      <c r="AP321" s="44">
        <v>0</v>
      </c>
      <c r="AQ321" s="44">
        <v>0</v>
      </c>
      <c r="AR321" s="44">
        <v>0</v>
      </c>
      <c r="AS321" s="44">
        <v>0</v>
      </c>
      <c r="AT321" s="44">
        <v>3410499.9741000002</v>
      </c>
      <c r="AU321" s="44">
        <v>1671959.4699237761</v>
      </c>
      <c r="AV321" s="44">
        <v>161139.39970000001</v>
      </c>
      <c r="AW321" s="44">
        <v>1088013.7106982926</v>
      </c>
      <c r="AX321" s="62">
        <v>5243598.8437237768</v>
      </c>
      <c r="AY321" s="62">
        <v>5220702.9840237768</v>
      </c>
      <c r="AZ321" s="62">
        <v>5995</v>
      </c>
      <c r="BA321" s="62">
        <v>3848790</v>
      </c>
      <c r="BB321" s="62">
        <v>0</v>
      </c>
      <c r="BC321" s="62">
        <v>0</v>
      </c>
      <c r="BD321" s="62">
        <v>5243598.8437237768</v>
      </c>
      <c r="BE321" s="44">
        <v>0</v>
      </c>
      <c r="BF321" s="44">
        <v>5243598.8437237758</v>
      </c>
      <c r="BG321" s="62">
        <v>3871685.8596999999</v>
      </c>
      <c r="BH321" s="62">
        <v>3710546.46</v>
      </c>
      <c r="BI321" s="44">
        <v>5082459.4440237768</v>
      </c>
      <c r="BJ321" s="44">
        <v>7916.6034953641383</v>
      </c>
      <c r="BK321" s="44">
        <v>7833.3656568910255</v>
      </c>
      <c r="BL321" s="45">
        <v>1.0626063191610149E-2</v>
      </c>
      <c r="BM321" s="45">
        <v>0</v>
      </c>
      <c r="BN321" s="44">
        <v>0</v>
      </c>
      <c r="BO321" s="62">
        <v>5243598.8437237768</v>
      </c>
      <c r="BP321" s="62">
        <v>8131.9361121865686</v>
      </c>
      <c r="BQ321" s="62" t="s">
        <v>92</v>
      </c>
      <c r="BR321" s="62">
        <v>8167.5994450526114</v>
      </c>
      <c r="BS321" s="53">
        <v>1.3243326133040467E-2</v>
      </c>
      <c r="BT321" s="44">
        <v>0</v>
      </c>
      <c r="BU321" s="44">
        <v>5243598.8437237768</v>
      </c>
      <c r="BV321" s="44">
        <v>0</v>
      </c>
      <c r="BW321" s="44">
        <v>5243598.8437237768</v>
      </c>
      <c r="BX321" s="44">
        <v>22895.859700000001</v>
      </c>
      <c r="BY321" s="44">
        <v>5220702.9840237768</v>
      </c>
    </row>
    <row r="322" spans="1:77">
      <c r="A322">
        <v>0</v>
      </c>
      <c r="B322" s="60">
        <v>141668</v>
      </c>
      <c r="C322" s="60">
        <v>3304018</v>
      </c>
      <c r="D322" s="61" t="s">
        <v>1027</v>
      </c>
      <c r="E322" s="52">
        <v>1349</v>
      </c>
      <c r="F322" s="52">
        <v>0</v>
      </c>
      <c r="G322" s="52">
        <v>1349</v>
      </c>
      <c r="H322" s="44">
        <v>0</v>
      </c>
      <c r="I322" s="44">
        <v>4223207.5936000003</v>
      </c>
      <c r="J322" s="44">
        <v>2902924.6211000001</v>
      </c>
      <c r="K322" s="44">
        <v>0</v>
      </c>
      <c r="L322" s="44">
        <v>282247.22259999986</v>
      </c>
      <c r="M322" s="44">
        <v>0</v>
      </c>
      <c r="N322" s="44">
        <v>792371.49599999946</v>
      </c>
      <c r="O322" s="44">
        <v>0</v>
      </c>
      <c r="P322" s="44">
        <v>0</v>
      </c>
      <c r="Q322" s="44">
        <v>0</v>
      </c>
      <c r="R322" s="44">
        <v>0</v>
      </c>
      <c r="S322" s="44">
        <v>0</v>
      </c>
      <c r="T322" s="44">
        <v>0</v>
      </c>
      <c r="U322" s="44">
        <v>26613.085200000023</v>
      </c>
      <c r="V322" s="44">
        <v>88509.581999999995</v>
      </c>
      <c r="W322" s="44">
        <v>292713.83189999964</v>
      </c>
      <c r="X322" s="44">
        <v>270736.9629000001</v>
      </c>
      <c r="Y322" s="44">
        <v>126241.55800000044</v>
      </c>
      <c r="Z322" s="44">
        <v>21811.288700000063</v>
      </c>
      <c r="AA322" s="44">
        <v>0</v>
      </c>
      <c r="AB322" s="44">
        <v>180842.33711366751</v>
      </c>
      <c r="AC322" s="44">
        <v>0</v>
      </c>
      <c r="AD322" s="44">
        <v>627672.14911007229</v>
      </c>
      <c r="AE322" s="44">
        <v>0</v>
      </c>
      <c r="AF322" s="44">
        <v>1174.5880242575654</v>
      </c>
      <c r="AG322" s="44">
        <v>138243.54</v>
      </c>
      <c r="AH322" s="44">
        <v>0</v>
      </c>
      <c r="AI322" s="44">
        <v>0</v>
      </c>
      <c r="AJ322" s="44">
        <v>0</v>
      </c>
      <c r="AK322" s="44">
        <v>31799.808000000001</v>
      </c>
      <c r="AL322" s="44">
        <v>0</v>
      </c>
      <c r="AM322" s="44">
        <v>0</v>
      </c>
      <c r="AN322" s="44">
        <v>0</v>
      </c>
      <c r="AO322" s="44">
        <v>0</v>
      </c>
      <c r="AP322" s="44">
        <v>0</v>
      </c>
      <c r="AQ322" s="44">
        <v>0</v>
      </c>
      <c r="AR322" s="44">
        <v>0</v>
      </c>
      <c r="AS322" s="44">
        <v>0</v>
      </c>
      <c r="AT322" s="44">
        <v>7126132.2147000004</v>
      </c>
      <c r="AU322" s="44">
        <v>2710934.1015479974</v>
      </c>
      <c r="AV322" s="44">
        <v>170043.348</v>
      </c>
      <c r="AW322" s="44">
        <v>1934601.2734950723</v>
      </c>
      <c r="AX322" s="62">
        <v>10007109.664247997</v>
      </c>
      <c r="AY322" s="62">
        <v>9975309.8562479969</v>
      </c>
      <c r="AZ322" s="62">
        <v>5995</v>
      </c>
      <c r="BA322" s="62">
        <v>8087255</v>
      </c>
      <c r="BB322" s="62">
        <v>0</v>
      </c>
      <c r="BC322" s="62">
        <v>0</v>
      </c>
      <c r="BD322" s="62">
        <v>10007109.664247997</v>
      </c>
      <c r="BE322" s="44">
        <v>0</v>
      </c>
      <c r="BF322" s="44">
        <v>10007109.664247993</v>
      </c>
      <c r="BG322" s="62">
        <v>8119054.8080000002</v>
      </c>
      <c r="BH322" s="62">
        <v>7949011.46</v>
      </c>
      <c r="BI322" s="44">
        <v>9837066.3162479978</v>
      </c>
      <c r="BJ322" s="44">
        <v>7292.1173582268329</v>
      </c>
      <c r="BK322" s="44">
        <v>7161.4994252583247</v>
      </c>
      <c r="BL322" s="45">
        <v>1.8238908531895432E-2</v>
      </c>
      <c r="BM322" s="45">
        <v>0</v>
      </c>
      <c r="BN322" s="44">
        <v>0</v>
      </c>
      <c r="BO322" s="62">
        <v>10007109.664247997</v>
      </c>
      <c r="BP322" s="62">
        <v>7394.5958904729405</v>
      </c>
      <c r="BQ322" s="62" t="s">
        <v>92</v>
      </c>
      <c r="BR322" s="62">
        <v>7418.1687651949569</v>
      </c>
      <c r="BS322" s="53">
        <v>1.8374118498991399E-2</v>
      </c>
      <c r="BT322" s="44">
        <v>0</v>
      </c>
      <c r="BU322" s="44">
        <v>10007109.664247997</v>
      </c>
      <c r="BV322" s="44">
        <v>0</v>
      </c>
      <c r="BW322" s="44">
        <v>10007109.664247997</v>
      </c>
      <c r="BX322" s="44">
        <v>31799.808000000001</v>
      </c>
      <c r="BY322" s="44">
        <v>9975309.8562479969</v>
      </c>
    </row>
    <row r="323" spans="1:77">
      <c r="A323">
        <v>0</v>
      </c>
      <c r="B323" s="60">
        <v>141969</v>
      </c>
      <c r="C323" s="60">
        <v>3304021</v>
      </c>
      <c r="D323" s="61" t="s">
        <v>1028</v>
      </c>
      <c r="E323" s="52">
        <v>617</v>
      </c>
      <c r="F323" s="52">
        <v>0</v>
      </c>
      <c r="G323" s="52">
        <v>617</v>
      </c>
      <c r="H323" s="44">
        <v>0</v>
      </c>
      <c r="I323" s="44">
        <v>1864662.064</v>
      </c>
      <c r="J323" s="44">
        <v>1403174.9147000001</v>
      </c>
      <c r="K323" s="44">
        <v>0</v>
      </c>
      <c r="L323" s="44">
        <v>91951.62130000013</v>
      </c>
      <c r="M323" s="44">
        <v>0</v>
      </c>
      <c r="N323" s="44">
        <v>296236.15199999989</v>
      </c>
      <c r="O323" s="44">
        <v>0</v>
      </c>
      <c r="P323" s="44">
        <v>0</v>
      </c>
      <c r="Q323" s="44">
        <v>0</v>
      </c>
      <c r="R323" s="44">
        <v>0</v>
      </c>
      <c r="S323" s="44">
        <v>0</v>
      </c>
      <c r="T323" s="44">
        <v>0</v>
      </c>
      <c r="U323" s="44">
        <v>52543.783600000097</v>
      </c>
      <c r="V323" s="44">
        <v>18063.180000000008</v>
      </c>
      <c r="W323" s="44">
        <v>87877.370699999941</v>
      </c>
      <c r="X323" s="44">
        <v>79628.518499999991</v>
      </c>
      <c r="Y323" s="44">
        <v>85398.700999999972</v>
      </c>
      <c r="Z323" s="44">
        <v>7586.5352000000257</v>
      </c>
      <c r="AA323" s="44">
        <v>0</v>
      </c>
      <c r="AB323" s="44">
        <v>33456.05304886365</v>
      </c>
      <c r="AC323" s="44">
        <v>0</v>
      </c>
      <c r="AD323" s="44">
        <v>220193.56248184911</v>
      </c>
      <c r="AE323" s="44">
        <v>0</v>
      </c>
      <c r="AF323" s="44">
        <v>0</v>
      </c>
      <c r="AG323" s="44">
        <v>138243.54</v>
      </c>
      <c r="AH323" s="44">
        <v>0</v>
      </c>
      <c r="AI323" s="44">
        <v>0</v>
      </c>
      <c r="AJ323" s="44">
        <v>0</v>
      </c>
      <c r="AK323" s="44">
        <v>29330.1152</v>
      </c>
      <c r="AL323" s="44">
        <v>0</v>
      </c>
      <c r="AM323" s="44">
        <v>0</v>
      </c>
      <c r="AN323" s="44">
        <v>0</v>
      </c>
      <c r="AO323" s="44">
        <v>0</v>
      </c>
      <c r="AP323" s="44">
        <v>0</v>
      </c>
      <c r="AQ323" s="44">
        <v>0</v>
      </c>
      <c r="AR323" s="44">
        <v>0</v>
      </c>
      <c r="AS323" s="44">
        <v>0</v>
      </c>
      <c r="AT323" s="44">
        <v>3267836.9786999999</v>
      </c>
      <c r="AU323" s="44">
        <v>972935.4778307128</v>
      </c>
      <c r="AV323" s="44">
        <v>167573.65520000001</v>
      </c>
      <c r="AW323" s="44">
        <v>743228.3425668492</v>
      </c>
      <c r="AX323" s="62">
        <v>4408346.1117307125</v>
      </c>
      <c r="AY323" s="62">
        <v>4379015.9965307126</v>
      </c>
      <c r="AZ323" s="62">
        <v>5995</v>
      </c>
      <c r="BA323" s="62">
        <v>3698915</v>
      </c>
      <c r="BB323" s="62">
        <v>0</v>
      </c>
      <c r="BC323" s="62">
        <v>0</v>
      </c>
      <c r="BD323" s="62">
        <v>4408346.1117307125</v>
      </c>
      <c r="BE323" s="44">
        <v>0</v>
      </c>
      <c r="BF323" s="44">
        <v>4408346.1117307125</v>
      </c>
      <c r="BG323" s="62">
        <v>3728245.1151999999</v>
      </c>
      <c r="BH323" s="62">
        <v>3560671.46</v>
      </c>
      <c r="BI323" s="44">
        <v>4240772.4565307125</v>
      </c>
      <c r="BJ323" s="44">
        <v>6873.2130575862438</v>
      </c>
      <c r="BK323" s="44">
        <v>6738.4050717073178</v>
      </c>
      <c r="BL323" s="45">
        <v>2.0005918974053245E-2</v>
      </c>
      <c r="BM323" s="45">
        <v>0</v>
      </c>
      <c r="BN323" s="44">
        <v>0</v>
      </c>
      <c r="BO323" s="62">
        <v>4408346.1117307125</v>
      </c>
      <c r="BP323" s="62">
        <v>7097.2706588828405</v>
      </c>
      <c r="BQ323" s="62" t="s">
        <v>92</v>
      </c>
      <c r="BR323" s="62">
        <v>7144.807312367443</v>
      </c>
      <c r="BS323" s="53">
        <v>1.8737725724034648E-2</v>
      </c>
      <c r="BT323" s="44">
        <v>0</v>
      </c>
      <c r="BU323" s="44">
        <v>4408346.1117307125</v>
      </c>
      <c r="BV323" s="44">
        <v>0</v>
      </c>
      <c r="BW323" s="44">
        <v>4408346.1117307125</v>
      </c>
      <c r="BX323" s="44">
        <v>29330.1152</v>
      </c>
      <c r="BY323" s="44">
        <v>4379015.9965307126</v>
      </c>
    </row>
    <row r="324" spans="1:77">
      <c r="A324">
        <v>0</v>
      </c>
      <c r="B324" s="60">
        <v>142388</v>
      </c>
      <c r="C324" s="60">
        <v>3304022</v>
      </c>
      <c r="D324" s="61" t="s">
        <v>1029</v>
      </c>
      <c r="E324" s="52">
        <v>974</v>
      </c>
      <c r="F324" s="52">
        <v>0</v>
      </c>
      <c r="G324" s="52">
        <v>974</v>
      </c>
      <c r="H324" s="44">
        <v>0</v>
      </c>
      <c r="I324" s="44">
        <v>2978419.6751999999</v>
      </c>
      <c r="J324" s="44">
        <v>2175773.2483000001</v>
      </c>
      <c r="K324" s="44">
        <v>0</v>
      </c>
      <c r="L324" s="44">
        <v>270445.94500000007</v>
      </c>
      <c r="M324" s="44">
        <v>0</v>
      </c>
      <c r="N324" s="44">
        <v>712893.50400000054</v>
      </c>
      <c r="O324" s="44">
        <v>0</v>
      </c>
      <c r="P324" s="44">
        <v>0</v>
      </c>
      <c r="Q324" s="44">
        <v>0</v>
      </c>
      <c r="R324" s="44">
        <v>0</v>
      </c>
      <c r="S324" s="44">
        <v>0</v>
      </c>
      <c r="T324" s="44">
        <v>0</v>
      </c>
      <c r="U324" s="44">
        <v>45130.198612345521</v>
      </c>
      <c r="V324" s="44">
        <v>65613.758009259123</v>
      </c>
      <c r="W324" s="44">
        <v>62084.190337037224</v>
      </c>
      <c r="X324" s="44">
        <v>65915.430459876559</v>
      </c>
      <c r="Y324" s="44">
        <v>178590.0907654324</v>
      </c>
      <c r="Z324" s="44">
        <v>128286.20286111122</v>
      </c>
      <c r="AA324" s="44">
        <v>0</v>
      </c>
      <c r="AB324" s="44">
        <v>132424.63264531409</v>
      </c>
      <c r="AC324" s="44">
        <v>0</v>
      </c>
      <c r="AD324" s="44">
        <v>467828.71497512539</v>
      </c>
      <c r="AE324" s="44">
        <v>0</v>
      </c>
      <c r="AF324" s="44">
        <v>22183.366477586736</v>
      </c>
      <c r="AG324" s="44">
        <v>138243.54</v>
      </c>
      <c r="AH324" s="44">
        <v>0</v>
      </c>
      <c r="AI324" s="44">
        <v>0</v>
      </c>
      <c r="AJ324" s="44">
        <v>0</v>
      </c>
      <c r="AK324" s="44">
        <v>18813.629799999999</v>
      </c>
      <c r="AL324" s="44">
        <v>1361116.17</v>
      </c>
      <c r="AM324" s="44">
        <v>0</v>
      </c>
      <c r="AN324" s="44">
        <v>0</v>
      </c>
      <c r="AO324" s="44">
        <v>0</v>
      </c>
      <c r="AP324" s="44">
        <v>0</v>
      </c>
      <c r="AQ324" s="44">
        <v>0</v>
      </c>
      <c r="AR324" s="44">
        <v>0</v>
      </c>
      <c r="AS324" s="44">
        <v>0</v>
      </c>
      <c r="AT324" s="44">
        <v>5154192.9234999996</v>
      </c>
      <c r="AU324" s="44">
        <v>2151396.0341430889</v>
      </c>
      <c r="AV324" s="44">
        <v>1518173.3398</v>
      </c>
      <c r="AW324" s="44">
        <v>1490018.0211726567</v>
      </c>
      <c r="AX324" s="62">
        <v>8823762.2974430881</v>
      </c>
      <c r="AY324" s="62">
        <v>7443832.4976430889</v>
      </c>
      <c r="AZ324" s="62">
        <v>5995</v>
      </c>
      <c r="BA324" s="62">
        <v>5839130</v>
      </c>
      <c r="BB324" s="62">
        <v>0</v>
      </c>
      <c r="BC324" s="62">
        <v>0</v>
      </c>
      <c r="BD324" s="62">
        <v>8823762.2974430881</v>
      </c>
      <c r="BE324" s="44">
        <v>0</v>
      </c>
      <c r="BF324" s="44">
        <v>8823762.2974430881</v>
      </c>
      <c r="BG324" s="62">
        <v>7219059.7998000002</v>
      </c>
      <c r="BH324" s="62">
        <v>7062002.6299999999</v>
      </c>
      <c r="BI324" s="44">
        <v>8666705.1276430897</v>
      </c>
      <c r="BJ324" s="44">
        <v>8898.0545458347951</v>
      </c>
      <c r="BK324" s="44">
        <v>8646.0855629049129</v>
      </c>
      <c r="BL324" s="45">
        <v>2.9142550243884666E-2</v>
      </c>
      <c r="BM324" s="45">
        <v>0</v>
      </c>
      <c r="BN324" s="44">
        <v>0</v>
      </c>
      <c r="BO324" s="62">
        <v>8823762.2974430881</v>
      </c>
      <c r="BP324" s="62">
        <v>7642.5384986068675</v>
      </c>
      <c r="BQ324" s="62" t="s">
        <v>92</v>
      </c>
      <c r="BR324" s="62">
        <v>9059.3042068204195</v>
      </c>
      <c r="BS324" s="53">
        <v>2.7097527761922091E-2</v>
      </c>
      <c r="BT324" s="44">
        <v>0</v>
      </c>
      <c r="BU324" s="44">
        <v>8823762.2974430881</v>
      </c>
      <c r="BV324" s="44">
        <v>0</v>
      </c>
      <c r="BW324" s="44">
        <v>8823762.2974430881</v>
      </c>
      <c r="BX324" s="44">
        <v>18813.629799999999</v>
      </c>
      <c r="BY324" s="44">
        <v>8804948.6676430888</v>
      </c>
    </row>
    <row r="325" spans="1:77">
      <c r="A325">
        <v>0</v>
      </c>
      <c r="B325" s="60">
        <v>144306</v>
      </c>
      <c r="C325" s="60">
        <v>3304024</v>
      </c>
      <c r="D325" s="61" t="s">
        <v>1030</v>
      </c>
      <c r="E325" s="52">
        <v>622</v>
      </c>
      <c r="F325" s="52">
        <v>0</v>
      </c>
      <c r="G325" s="52">
        <v>622</v>
      </c>
      <c r="H325" s="44">
        <v>0</v>
      </c>
      <c r="I325" s="44">
        <v>1980573.4896</v>
      </c>
      <c r="J325" s="44">
        <v>1300919.2529</v>
      </c>
      <c r="K325" s="44">
        <v>0</v>
      </c>
      <c r="L325" s="44">
        <v>210456.11719999995</v>
      </c>
      <c r="M325" s="44">
        <v>0</v>
      </c>
      <c r="N325" s="44">
        <v>531057.49200000032</v>
      </c>
      <c r="O325" s="44">
        <v>0</v>
      </c>
      <c r="P325" s="44">
        <v>0</v>
      </c>
      <c r="Q325" s="44">
        <v>0</v>
      </c>
      <c r="R325" s="44">
        <v>0</v>
      </c>
      <c r="S325" s="44">
        <v>0</v>
      </c>
      <c r="T325" s="44">
        <v>0</v>
      </c>
      <c r="U325" s="44">
        <v>10576.995399999993</v>
      </c>
      <c r="V325" s="44">
        <v>21224.236499999992</v>
      </c>
      <c r="W325" s="44">
        <v>62588.918700000133</v>
      </c>
      <c r="X325" s="44">
        <v>62317.971000000056</v>
      </c>
      <c r="Y325" s="44">
        <v>174510.38899999997</v>
      </c>
      <c r="Z325" s="44">
        <v>95780.006900000037</v>
      </c>
      <c r="AA325" s="44">
        <v>0</v>
      </c>
      <c r="AB325" s="44">
        <v>105146.22317487925</v>
      </c>
      <c r="AC325" s="44">
        <v>0</v>
      </c>
      <c r="AD325" s="44">
        <v>351126.10519625794</v>
      </c>
      <c r="AE325" s="44">
        <v>0</v>
      </c>
      <c r="AF325" s="44">
        <v>23219.61578399998</v>
      </c>
      <c r="AG325" s="44">
        <v>138243.54</v>
      </c>
      <c r="AH325" s="44">
        <v>0</v>
      </c>
      <c r="AI325" s="44">
        <v>0</v>
      </c>
      <c r="AJ325" s="44">
        <v>0</v>
      </c>
      <c r="AK325" s="44">
        <v>4690.4758000000002</v>
      </c>
      <c r="AL325" s="44">
        <v>0</v>
      </c>
      <c r="AM325" s="44">
        <v>0</v>
      </c>
      <c r="AN325" s="44">
        <v>0</v>
      </c>
      <c r="AO325" s="44">
        <v>0</v>
      </c>
      <c r="AP325" s="44">
        <v>0</v>
      </c>
      <c r="AQ325" s="44">
        <v>0</v>
      </c>
      <c r="AR325" s="44">
        <v>0</v>
      </c>
      <c r="AS325" s="44">
        <v>0</v>
      </c>
      <c r="AT325" s="44">
        <v>3281492.7424999997</v>
      </c>
      <c r="AU325" s="44">
        <v>1648004.0708551377</v>
      </c>
      <c r="AV325" s="44">
        <v>142934.01579999999</v>
      </c>
      <c r="AW325" s="44">
        <v>1099456.8056712579</v>
      </c>
      <c r="AX325" s="62">
        <v>5072430.8291551378</v>
      </c>
      <c r="AY325" s="62">
        <v>5067740.3533551376</v>
      </c>
      <c r="AZ325" s="62">
        <v>5995</v>
      </c>
      <c r="BA325" s="62">
        <v>3728890</v>
      </c>
      <c r="BB325" s="62">
        <v>0</v>
      </c>
      <c r="BC325" s="62">
        <v>0</v>
      </c>
      <c r="BD325" s="62">
        <v>5072430.8291551378</v>
      </c>
      <c r="BE325" s="44">
        <v>0</v>
      </c>
      <c r="BF325" s="44">
        <v>5072430.8291551368</v>
      </c>
      <c r="BG325" s="62">
        <v>3733580.4758000001</v>
      </c>
      <c r="BH325" s="62">
        <v>3590646.46</v>
      </c>
      <c r="BI325" s="44">
        <v>4929496.8133551376</v>
      </c>
      <c r="BJ325" s="44">
        <v>7925.2360343330183</v>
      </c>
      <c r="BK325" s="44">
        <v>7965.7768336120389</v>
      </c>
      <c r="BL325" s="45">
        <v>-5.0893717117402055E-3</v>
      </c>
      <c r="BM325" s="45">
        <v>1.0089371711740205E-2</v>
      </c>
      <c r="BN325" s="44">
        <v>49989.943104084232</v>
      </c>
      <c r="BO325" s="62">
        <v>5122420.7722592223</v>
      </c>
      <c r="BP325" s="62">
        <v>8227.8622129569485</v>
      </c>
      <c r="BQ325" s="62" t="s">
        <v>92</v>
      </c>
      <c r="BR325" s="62">
        <v>8235.4031708347629</v>
      </c>
      <c r="BS325" s="53">
        <v>9.6083488333853495E-4</v>
      </c>
      <c r="BT325" s="44">
        <v>0</v>
      </c>
      <c r="BU325" s="44">
        <v>5122420.7722592223</v>
      </c>
      <c r="BV325" s="44">
        <v>0</v>
      </c>
      <c r="BW325" s="44">
        <v>5122420.7722592223</v>
      </c>
      <c r="BX325" s="44">
        <v>4690.4758000000002</v>
      </c>
      <c r="BY325" s="44">
        <v>5117730.2964592222</v>
      </c>
    </row>
    <row r="326" spans="1:77">
      <c r="A326">
        <v>0</v>
      </c>
      <c r="B326" s="60">
        <v>144464</v>
      </c>
      <c r="C326" s="60">
        <v>3304025</v>
      </c>
      <c r="D326" s="61" t="s">
        <v>1031</v>
      </c>
      <c r="E326" s="52">
        <v>1186</v>
      </c>
      <c r="F326" s="52">
        <v>0</v>
      </c>
      <c r="G326" s="52">
        <v>1186</v>
      </c>
      <c r="H326" s="44">
        <v>0</v>
      </c>
      <c r="I326" s="44">
        <v>3568056.0575999999</v>
      </c>
      <c r="J326" s="44">
        <v>2715455.9078000002</v>
      </c>
      <c r="K326" s="44">
        <v>0</v>
      </c>
      <c r="L326" s="44">
        <v>260611.54700000028</v>
      </c>
      <c r="M326" s="44">
        <v>0</v>
      </c>
      <c r="N326" s="44">
        <v>732160.8960000003</v>
      </c>
      <c r="O326" s="44">
        <v>0</v>
      </c>
      <c r="P326" s="44">
        <v>0</v>
      </c>
      <c r="Q326" s="44">
        <v>0</v>
      </c>
      <c r="R326" s="44">
        <v>0</v>
      </c>
      <c r="S326" s="44">
        <v>0</v>
      </c>
      <c r="T326" s="44">
        <v>0</v>
      </c>
      <c r="U326" s="44">
        <v>7165.0614000000169</v>
      </c>
      <c r="V326" s="44">
        <v>130054.89600000008</v>
      </c>
      <c r="W326" s="44">
        <v>209261.94030000007</v>
      </c>
      <c r="X326" s="44">
        <v>197340.24150000024</v>
      </c>
      <c r="Y326" s="44">
        <v>158915.84359999959</v>
      </c>
      <c r="Z326" s="44">
        <v>29397.823900000032</v>
      </c>
      <c r="AA326" s="44">
        <v>0</v>
      </c>
      <c r="AB326" s="44">
        <v>366576.28949166008</v>
      </c>
      <c r="AC326" s="44">
        <v>0</v>
      </c>
      <c r="AD326" s="44">
        <v>603177.18083317729</v>
      </c>
      <c r="AE326" s="44">
        <v>0</v>
      </c>
      <c r="AF326" s="44">
        <v>81007.729037084617</v>
      </c>
      <c r="AG326" s="44">
        <v>138243.54</v>
      </c>
      <c r="AH326" s="44">
        <v>0</v>
      </c>
      <c r="AI326" s="44">
        <v>0</v>
      </c>
      <c r="AJ326" s="44">
        <v>0</v>
      </c>
      <c r="AK326" s="44">
        <v>15899.904</v>
      </c>
      <c r="AL326" s="44">
        <v>0</v>
      </c>
      <c r="AM326" s="44">
        <v>0</v>
      </c>
      <c r="AN326" s="44">
        <v>0</v>
      </c>
      <c r="AO326" s="44">
        <v>0</v>
      </c>
      <c r="AP326" s="44">
        <v>0</v>
      </c>
      <c r="AQ326" s="44">
        <v>0</v>
      </c>
      <c r="AR326" s="44">
        <v>0</v>
      </c>
      <c r="AS326" s="44">
        <v>0</v>
      </c>
      <c r="AT326" s="44">
        <v>6283511.9654000001</v>
      </c>
      <c r="AU326" s="44">
        <v>2775669.4490619223</v>
      </c>
      <c r="AV326" s="44">
        <v>154143.44400000002</v>
      </c>
      <c r="AW326" s="44">
        <v>1779806.9039531779</v>
      </c>
      <c r="AX326" s="62">
        <v>9213324.858461922</v>
      </c>
      <c r="AY326" s="62">
        <v>9197424.9544619229</v>
      </c>
      <c r="AZ326" s="62">
        <v>5995</v>
      </c>
      <c r="BA326" s="62">
        <v>7110070</v>
      </c>
      <c r="BB326" s="62">
        <v>0</v>
      </c>
      <c r="BC326" s="62">
        <v>0</v>
      </c>
      <c r="BD326" s="62">
        <v>9213324.858461922</v>
      </c>
      <c r="BE326" s="44">
        <v>0</v>
      </c>
      <c r="BF326" s="44">
        <v>9213324.858461922</v>
      </c>
      <c r="BG326" s="62">
        <v>7125969.9040000001</v>
      </c>
      <c r="BH326" s="62">
        <v>6971826.46</v>
      </c>
      <c r="BI326" s="44">
        <v>9059181.4144619238</v>
      </c>
      <c r="BJ326" s="44">
        <v>7638.4328958363603</v>
      </c>
      <c r="BK326" s="44">
        <v>7379.1888710596622</v>
      </c>
      <c r="BL326" s="45">
        <v>3.5131777937467301E-2</v>
      </c>
      <c r="BM326" s="45">
        <v>0</v>
      </c>
      <c r="BN326" s="44">
        <v>0</v>
      </c>
      <c r="BO326" s="62">
        <v>9213324.858461922</v>
      </c>
      <c r="BP326" s="62">
        <v>7754.9957457520431</v>
      </c>
      <c r="BQ326" s="62" t="s">
        <v>92</v>
      </c>
      <c r="BR326" s="62">
        <v>7768.4020729021267</v>
      </c>
      <c r="BS326" s="53">
        <v>3.4911276981522521E-2</v>
      </c>
      <c r="BT326" s="44">
        <v>0</v>
      </c>
      <c r="BU326" s="44">
        <v>9213324.858461922</v>
      </c>
      <c r="BV326" s="44">
        <v>0</v>
      </c>
      <c r="BW326" s="44">
        <v>9213324.858461922</v>
      </c>
      <c r="BX326" s="44">
        <v>15899.904</v>
      </c>
      <c r="BY326" s="44">
        <v>9197424.9544619229</v>
      </c>
    </row>
    <row r="327" spans="1:77">
      <c r="A327">
        <v>0</v>
      </c>
      <c r="B327" s="60">
        <v>144719</v>
      </c>
      <c r="C327" s="60">
        <v>3304026</v>
      </c>
      <c r="D327" s="61" t="s">
        <v>1032</v>
      </c>
      <c r="E327" s="52">
        <v>745</v>
      </c>
      <c r="F327" s="52">
        <v>0</v>
      </c>
      <c r="G327" s="52">
        <v>745</v>
      </c>
      <c r="H327" s="44">
        <v>0</v>
      </c>
      <c r="I327" s="44">
        <v>2257752.9855999998</v>
      </c>
      <c r="J327" s="44">
        <v>1687218.4197</v>
      </c>
      <c r="K327" s="44">
        <v>0</v>
      </c>
      <c r="L327" s="44">
        <v>171610.24509999994</v>
      </c>
      <c r="M327" s="44">
        <v>0</v>
      </c>
      <c r="N327" s="44">
        <v>505769.04000000004</v>
      </c>
      <c r="O327" s="44">
        <v>0</v>
      </c>
      <c r="P327" s="44">
        <v>0</v>
      </c>
      <c r="Q327" s="44">
        <v>0</v>
      </c>
      <c r="R327" s="44">
        <v>0</v>
      </c>
      <c r="S327" s="44">
        <v>0</v>
      </c>
      <c r="T327" s="44">
        <v>0</v>
      </c>
      <c r="U327" s="44">
        <v>5117.9010000000089</v>
      </c>
      <c r="V327" s="44">
        <v>41996.893500000107</v>
      </c>
      <c r="W327" s="44">
        <v>132764.37299999979</v>
      </c>
      <c r="X327" s="44">
        <v>112864.76970000011</v>
      </c>
      <c r="Y327" s="44">
        <v>141093.50600000005</v>
      </c>
      <c r="Z327" s="44">
        <v>55950.69709999999</v>
      </c>
      <c r="AA327" s="44">
        <v>0</v>
      </c>
      <c r="AB327" s="44">
        <v>112548.00012890095</v>
      </c>
      <c r="AC327" s="44">
        <v>0</v>
      </c>
      <c r="AD327" s="44">
        <v>345496.34545508114</v>
      </c>
      <c r="AE327" s="44">
        <v>0</v>
      </c>
      <c r="AF327" s="44">
        <v>6046.0344504838276</v>
      </c>
      <c r="AG327" s="44">
        <v>138243.54</v>
      </c>
      <c r="AH327" s="44">
        <v>0</v>
      </c>
      <c r="AI327" s="44">
        <v>0</v>
      </c>
      <c r="AJ327" s="44">
        <v>0</v>
      </c>
      <c r="AK327" s="44">
        <v>24273.855500000001</v>
      </c>
      <c r="AL327" s="44">
        <v>0</v>
      </c>
      <c r="AM327" s="44">
        <v>0</v>
      </c>
      <c r="AN327" s="44">
        <v>0</v>
      </c>
      <c r="AO327" s="44">
        <v>0</v>
      </c>
      <c r="AP327" s="44">
        <v>0</v>
      </c>
      <c r="AQ327" s="44">
        <v>0</v>
      </c>
      <c r="AR327" s="44">
        <v>0</v>
      </c>
      <c r="AS327" s="44">
        <v>0</v>
      </c>
      <c r="AT327" s="44">
        <v>3944971.4052999998</v>
      </c>
      <c r="AU327" s="44">
        <v>1631257.8054344659</v>
      </c>
      <c r="AV327" s="44">
        <v>162517.39550000001</v>
      </c>
      <c r="AW327" s="44">
        <v>1126328.6284200812</v>
      </c>
      <c r="AX327" s="62">
        <v>5738746.6062344657</v>
      </c>
      <c r="AY327" s="62">
        <v>5714472.7507344661</v>
      </c>
      <c r="AZ327" s="62">
        <v>5995</v>
      </c>
      <c r="BA327" s="62">
        <v>4466275</v>
      </c>
      <c r="BB327" s="62">
        <v>0</v>
      </c>
      <c r="BC327" s="62">
        <v>0</v>
      </c>
      <c r="BD327" s="62">
        <v>5738746.6062344657</v>
      </c>
      <c r="BE327" s="44">
        <v>0</v>
      </c>
      <c r="BF327" s="44">
        <v>5738746.6062344639</v>
      </c>
      <c r="BG327" s="62">
        <v>4490548.8554999996</v>
      </c>
      <c r="BH327" s="62">
        <v>4328031.46</v>
      </c>
      <c r="BI327" s="44">
        <v>5576229.2107344661</v>
      </c>
      <c r="BJ327" s="44">
        <v>7484.8714238046523</v>
      </c>
      <c r="BK327" s="44">
        <v>7439.8885138350925</v>
      </c>
      <c r="BL327" s="45">
        <v>6.0461806498726929E-3</v>
      </c>
      <c r="BM327" s="45">
        <v>0</v>
      </c>
      <c r="BN327" s="44">
        <v>0</v>
      </c>
      <c r="BO327" s="62">
        <v>5738746.6062344657</v>
      </c>
      <c r="BP327" s="62">
        <v>7670.4332224623704</v>
      </c>
      <c r="BQ327" s="62" t="s">
        <v>92</v>
      </c>
      <c r="BR327" s="62">
        <v>7703.015578838209</v>
      </c>
      <c r="BS327" s="53">
        <v>6.4362332847269776E-3</v>
      </c>
      <c r="BT327" s="44">
        <v>0</v>
      </c>
      <c r="BU327" s="44">
        <v>5738746.6062344657</v>
      </c>
      <c r="BV327" s="44">
        <v>0</v>
      </c>
      <c r="BW327" s="44">
        <v>5738746.6062344657</v>
      </c>
      <c r="BX327" s="44">
        <v>24273.855500000001</v>
      </c>
      <c r="BY327" s="44">
        <v>5714472.7507344661</v>
      </c>
    </row>
    <row r="328" spans="1:77">
      <c r="A328">
        <v>0</v>
      </c>
      <c r="B328" s="60">
        <v>144721</v>
      </c>
      <c r="C328" s="60">
        <v>3304027</v>
      </c>
      <c r="D328" s="61" t="s">
        <v>1033</v>
      </c>
      <c r="E328" s="52">
        <v>916</v>
      </c>
      <c r="F328" s="52">
        <v>0</v>
      </c>
      <c r="G328" s="52">
        <v>916</v>
      </c>
      <c r="H328" s="44">
        <v>0</v>
      </c>
      <c r="I328" s="44">
        <v>2897785.64</v>
      </c>
      <c r="J328" s="44">
        <v>1937176.7041</v>
      </c>
      <c r="K328" s="44">
        <v>0</v>
      </c>
      <c r="L328" s="44">
        <v>210947.83710000012</v>
      </c>
      <c r="M328" s="44">
        <v>0</v>
      </c>
      <c r="N328" s="44">
        <v>553937.51999999979</v>
      </c>
      <c r="O328" s="44">
        <v>0</v>
      </c>
      <c r="P328" s="44">
        <v>0</v>
      </c>
      <c r="Q328" s="44">
        <v>0</v>
      </c>
      <c r="R328" s="44">
        <v>0</v>
      </c>
      <c r="S328" s="44">
        <v>0</v>
      </c>
      <c r="T328" s="44">
        <v>0</v>
      </c>
      <c r="U328" s="44">
        <v>49473.042999999983</v>
      </c>
      <c r="V328" s="44">
        <v>27546.3495</v>
      </c>
      <c r="W328" s="44">
        <v>25920.663299999993</v>
      </c>
      <c r="X328" s="44">
        <v>105248.12880000002</v>
      </c>
      <c r="Y328" s="44">
        <v>110647.01259999981</v>
      </c>
      <c r="Z328" s="44">
        <v>116642.97870000024</v>
      </c>
      <c r="AA328" s="44">
        <v>0</v>
      </c>
      <c r="AB328" s="44">
        <v>67096.657102631623</v>
      </c>
      <c r="AC328" s="44">
        <v>0</v>
      </c>
      <c r="AD328" s="44">
        <v>451346.05777455278</v>
      </c>
      <c r="AE328" s="44">
        <v>0</v>
      </c>
      <c r="AF328" s="44">
        <v>58512.771751562992</v>
      </c>
      <c r="AG328" s="44">
        <v>138243.54</v>
      </c>
      <c r="AH328" s="44">
        <v>0</v>
      </c>
      <c r="AI328" s="44">
        <v>0</v>
      </c>
      <c r="AJ328" s="44">
        <v>0</v>
      </c>
      <c r="AK328" s="44">
        <v>9645.9397000000008</v>
      </c>
      <c r="AL328" s="44">
        <v>0</v>
      </c>
      <c r="AM328" s="44">
        <v>0</v>
      </c>
      <c r="AN328" s="44">
        <v>0</v>
      </c>
      <c r="AO328" s="44">
        <v>0</v>
      </c>
      <c r="AP328" s="44">
        <v>0</v>
      </c>
      <c r="AQ328" s="44">
        <v>0</v>
      </c>
      <c r="AR328" s="44">
        <v>0</v>
      </c>
      <c r="AS328" s="44">
        <v>0</v>
      </c>
      <c r="AT328" s="44">
        <v>4834962.3441000003</v>
      </c>
      <c r="AU328" s="44">
        <v>1777319.0196287476</v>
      </c>
      <c r="AV328" s="44">
        <v>147889.4797</v>
      </c>
      <c r="AW328" s="44">
        <v>1293275.9414795528</v>
      </c>
      <c r="AX328" s="62">
        <v>6760170.8434287477</v>
      </c>
      <c r="AY328" s="62">
        <v>6750524.9037287477</v>
      </c>
      <c r="AZ328" s="62">
        <v>5995</v>
      </c>
      <c r="BA328" s="62">
        <v>5491420</v>
      </c>
      <c r="BB328" s="62">
        <v>0</v>
      </c>
      <c r="BC328" s="62">
        <v>0</v>
      </c>
      <c r="BD328" s="62">
        <v>6760170.8434287477</v>
      </c>
      <c r="BE328" s="44">
        <v>0</v>
      </c>
      <c r="BF328" s="44">
        <v>6760170.8434287468</v>
      </c>
      <c r="BG328" s="62">
        <v>5501065.9397</v>
      </c>
      <c r="BH328" s="62">
        <v>5353176.46</v>
      </c>
      <c r="BI328" s="44">
        <v>6612281.3637287477</v>
      </c>
      <c r="BJ328" s="44">
        <v>7218.6477769964495</v>
      </c>
      <c r="BK328" s="44">
        <v>7063.7737822843819</v>
      </c>
      <c r="BL328" s="45">
        <v>2.1925106817617002E-2</v>
      </c>
      <c r="BM328" s="45">
        <v>0</v>
      </c>
      <c r="BN328" s="44">
        <v>0</v>
      </c>
      <c r="BO328" s="62">
        <v>6760170.8434287477</v>
      </c>
      <c r="BP328" s="62">
        <v>7369.568672192956</v>
      </c>
      <c r="BQ328" s="62" t="s">
        <v>92</v>
      </c>
      <c r="BR328" s="62">
        <v>7380.0991740488516</v>
      </c>
      <c r="BS328" s="53">
        <v>1.7612904423183862E-2</v>
      </c>
      <c r="BT328" s="44">
        <v>0</v>
      </c>
      <c r="BU328" s="44">
        <v>6760170.8434287477</v>
      </c>
      <c r="BV328" s="44">
        <v>0</v>
      </c>
      <c r="BW328" s="44">
        <v>6760170.8434287477</v>
      </c>
      <c r="BX328" s="44">
        <v>9645.9397000000008</v>
      </c>
      <c r="BY328" s="44">
        <v>6750524.9037287477</v>
      </c>
    </row>
    <row r="329" spans="1:77">
      <c r="A329">
        <v>0</v>
      </c>
      <c r="B329" s="60">
        <v>145120</v>
      </c>
      <c r="C329" s="60">
        <v>3304029</v>
      </c>
      <c r="D329" s="61" t="s">
        <v>1034</v>
      </c>
      <c r="E329" s="52">
        <v>536</v>
      </c>
      <c r="F329" s="52">
        <v>0</v>
      </c>
      <c r="G329" s="52">
        <v>536</v>
      </c>
      <c r="H329" s="44">
        <v>0</v>
      </c>
      <c r="I329" s="44">
        <v>1658037.3488</v>
      </c>
      <c r="J329" s="44">
        <v>1175940.1107000001</v>
      </c>
      <c r="K329" s="44">
        <v>0</v>
      </c>
      <c r="L329" s="44">
        <v>110145.2576</v>
      </c>
      <c r="M329" s="44">
        <v>0</v>
      </c>
      <c r="N329" s="44">
        <v>319116.18000000005</v>
      </c>
      <c r="O329" s="44">
        <v>0</v>
      </c>
      <c r="P329" s="44">
        <v>0</v>
      </c>
      <c r="Q329" s="44">
        <v>0</v>
      </c>
      <c r="R329" s="44">
        <v>0</v>
      </c>
      <c r="S329" s="44">
        <v>0</v>
      </c>
      <c r="T329" s="44">
        <v>0</v>
      </c>
      <c r="U329" s="44">
        <v>15040.570365607475</v>
      </c>
      <c r="V329" s="44">
        <v>31669.650168224278</v>
      </c>
      <c r="W329" s="44">
        <v>57005.370302803894</v>
      </c>
      <c r="X329" s="44">
        <v>36766.955766728992</v>
      </c>
      <c r="Y329" s="44">
        <v>64726.732629532889</v>
      </c>
      <c r="Z329" s="44">
        <v>55105.188387289701</v>
      </c>
      <c r="AA329" s="44">
        <v>0</v>
      </c>
      <c r="AB329" s="44">
        <v>138637.65944972003</v>
      </c>
      <c r="AC329" s="44">
        <v>0</v>
      </c>
      <c r="AD329" s="44">
        <v>287810.7558316777</v>
      </c>
      <c r="AE329" s="44">
        <v>0</v>
      </c>
      <c r="AF329" s="44">
        <v>20917.429038529106</v>
      </c>
      <c r="AG329" s="44">
        <v>138243.54</v>
      </c>
      <c r="AH329" s="44">
        <v>0</v>
      </c>
      <c r="AI329" s="44">
        <v>0</v>
      </c>
      <c r="AJ329" s="44">
        <v>0</v>
      </c>
      <c r="AK329" s="44">
        <v>32329.804800000002</v>
      </c>
      <c r="AL329" s="44">
        <v>0</v>
      </c>
      <c r="AM329" s="44">
        <v>0</v>
      </c>
      <c r="AN329" s="44">
        <v>0</v>
      </c>
      <c r="AO329" s="44">
        <v>0</v>
      </c>
      <c r="AP329" s="44">
        <v>0</v>
      </c>
      <c r="AQ329" s="44">
        <v>0</v>
      </c>
      <c r="AR329" s="44">
        <v>0</v>
      </c>
      <c r="AS329" s="44">
        <v>0</v>
      </c>
      <c r="AT329" s="44">
        <v>2833977.4594999999</v>
      </c>
      <c r="AU329" s="44">
        <v>1136941.7495401141</v>
      </c>
      <c r="AV329" s="44">
        <v>170573.34480000002</v>
      </c>
      <c r="AW329" s="44">
        <v>774297.5814167714</v>
      </c>
      <c r="AX329" s="62">
        <v>4141492.5538401138</v>
      </c>
      <c r="AY329" s="62">
        <v>4109162.7490401138</v>
      </c>
      <c r="AZ329" s="62">
        <v>5995</v>
      </c>
      <c r="BA329" s="62">
        <v>3213320</v>
      </c>
      <c r="BB329" s="62">
        <v>0</v>
      </c>
      <c r="BC329" s="62">
        <v>0</v>
      </c>
      <c r="BD329" s="62">
        <v>4141492.5538401138</v>
      </c>
      <c r="BE329" s="44">
        <v>0</v>
      </c>
      <c r="BF329" s="44">
        <v>4141492.5538401138</v>
      </c>
      <c r="BG329" s="62">
        <v>3245649.8048</v>
      </c>
      <c r="BH329" s="62">
        <v>3075076.46</v>
      </c>
      <c r="BI329" s="44">
        <v>3970919.2090401137</v>
      </c>
      <c r="BJ329" s="44">
        <v>7408.4313601494659</v>
      </c>
      <c r="BK329" s="44">
        <v>7440.0093527308836</v>
      </c>
      <c r="BL329" s="45">
        <v>-4.2443485060710108E-3</v>
      </c>
      <c r="BM329" s="45">
        <v>9.2443485060710109E-3</v>
      </c>
      <c r="BN329" s="44">
        <v>36865.029088958639</v>
      </c>
      <c r="BO329" s="62">
        <v>4178357.5829290724</v>
      </c>
      <c r="BP329" s="62">
        <v>7735.1264517333439</v>
      </c>
      <c r="BQ329" s="62" t="s">
        <v>92</v>
      </c>
      <c r="BR329" s="62">
        <v>7795.4432517333444</v>
      </c>
      <c r="BS329" s="53">
        <v>8.052190634979528E-3</v>
      </c>
      <c r="BT329" s="44">
        <v>0</v>
      </c>
      <c r="BU329" s="44">
        <v>4178357.5829290724</v>
      </c>
      <c r="BV329" s="44">
        <v>0</v>
      </c>
      <c r="BW329" s="44">
        <v>4178357.5829290724</v>
      </c>
      <c r="BX329" s="44">
        <v>32329.804800000002</v>
      </c>
      <c r="BY329" s="44">
        <v>4146027.7781290724</v>
      </c>
    </row>
    <row r="330" spans="1:77">
      <c r="A330">
        <v>0</v>
      </c>
      <c r="B330" s="60">
        <v>145580</v>
      </c>
      <c r="C330" s="60">
        <v>3304031</v>
      </c>
      <c r="D330" s="61" t="s">
        <v>1035</v>
      </c>
      <c r="E330" s="52">
        <v>1107</v>
      </c>
      <c r="F330" s="52">
        <v>0</v>
      </c>
      <c r="G330" s="52">
        <v>1107</v>
      </c>
      <c r="H330" s="44">
        <v>0</v>
      </c>
      <c r="I330" s="44">
        <v>3174965.1359999999</v>
      </c>
      <c r="J330" s="44">
        <v>2709775.0377000002</v>
      </c>
      <c r="K330" s="44">
        <v>0</v>
      </c>
      <c r="L330" s="44">
        <v>178494.32369999983</v>
      </c>
      <c r="M330" s="44">
        <v>0</v>
      </c>
      <c r="N330" s="44">
        <v>474459.52799999953</v>
      </c>
      <c r="O330" s="44">
        <v>0</v>
      </c>
      <c r="P330" s="44">
        <v>0</v>
      </c>
      <c r="Q330" s="44">
        <v>0</v>
      </c>
      <c r="R330" s="44">
        <v>0</v>
      </c>
      <c r="S330" s="44">
        <v>0</v>
      </c>
      <c r="T330" s="44">
        <v>0</v>
      </c>
      <c r="U330" s="44">
        <v>109721.31322153842</v>
      </c>
      <c r="V330" s="44">
        <v>72383.494153846288</v>
      </c>
      <c r="W330" s="44">
        <v>12667.111476923066</v>
      </c>
      <c r="X330" s="44">
        <v>16648.203655384648</v>
      </c>
      <c r="Y330" s="44">
        <v>56539.551544615366</v>
      </c>
      <c r="Z330" s="44">
        <v>23750.832766968357</v>
      </c>
      <c r="AA330" s="44">
        <v>0</v>
      </c>
      <c r="AB330" s="44">
        <v>51834.511811591503</v>
      </c>
      <c r="AC330" s="44">
        <v>0</v>
      </c>
      <c r="AD330" s="44">
        <v>449838.833869569</v>
      </c>
      <c r="AE330" s="44">
        <v>0</v>
      </c>
      <c r="AF330" s="44">
        <v>0</v>
      </c>
      <c r="AG330" s="44">
        <v>138243.54</v>
      </c>
      <c r="AH330" s="44">
        <v>0</v>
      </c>
      <c r="AI330" s="44">
        <v>0</v>
      </c>
      <c r="AJ330" s="44">
        <v>0</v>
      </c>
      <c r="AK330" s="44">
        <v>4796.4731000000002</v>
      </c>
      <c r="AL330" s="44">
        <v>1218632.67</v>
      </c>
      <c r="AM330" s="44">
        <v>0</v>
      </c>
      <c r="AN330" s="44">
        <v>0</v>
      </c>
      <c r="AO330" s="44">
        <v>0</v>
      </c>
      <c r="AP330" s="44">
        <v>0</v>
      </c>
      <c r="AQ330" s="44">
        <v>0</v>
      </c>
      <c r="AR330" s="44">
        <v>0</v>
      </c>
      <c r="AS330" s="44">
        <v>0</v>
      </c>
      <c r="AT330" s="44">
        <v>5884740.1737000002</v>
      </c>
      <c r="AU330" s="44">
        <v>1446337.7042004359</v>
      </c>
      <c r="AV330" s="44">
        <v>1361672.6831</v>
      </c>
      <c r="AW330" s="44">
        <v>1216408.0218142066</v>
      </c>
      <c r="AX330" s="62">
        <v>8692750.5610004365</v>
      </c>
      <c r="AY330" s="62">
        <v>7469321.4179004375</v>
      </c>
      <c r="AZ330" s="62">
        <v>5995</v>
      </c>
      <c r="BA330" s="62">
        <v>6636465</v>
      </c>
      <c r="BB330" s="62">
        <v>0</v>
      </c>
      <c r="BC330" s="62">
        <v>0</v>
      </c>
      <c r="BD330" s="62">
        <v>8692750.5610004365</v>
      </c>
      <c r="BE330" s="44">
        <v>0</v>
      </c>
      <c r="BF330" s="44">
        <v>8692750.5610004365</v>
      </c>
      <c r="BG330" s="62">
        <v>7859894.1431</v>
      </c>
      <c r="BH330" s="62">
        <v>7716854.1299999999</v>
      </c>
      <c r="BI330" s="44">
        <v>8549710.5479004383</v>
      </c>
      <c r="BJ330" s="44">
        <v>7723.315761427677</v>
      </c>
      <c r="BK330" s="44">
        <v>7438.8262059728513</v>
      </c>
      <c r="BL330" s="45">
        <v>3.8243877135669693E-2</v>
      </c>
      <c r="BM330" s="45">
        <v>0</v>
      </c>
      <c r="BN330" s="44">
        <v>0</v>
      </c>
      <c r="BO330" s="62">
        <v>8692750.5610004365</v>
      </c>
      <c r="BP330" s="62">
        <v>6747.3544877149388</v>
      </c>
      <c r="BQ330" s="62" t="s">
        <v>92</v>
      </c>
      <c r="BR330" s="62">
        <v>7852.5298654023818</v>
      </c>
      <c r="BS330" s="53">
        <v>3.4270177715897132E-2</v>
      </c>
      <c r="BT330" s="44">
        <v>0</v>
      </c>
      <c r="BU330" s="44">
        <v>8692750.5610004365</v>
      </c>
      <c r="BV330" s="44">
        <v>0</v>
      </c>
      <c r="BW330" s="44">
        <v>8692750.5610004365</v>
      </c>
      <c r="BX330" s="44">
        <v>4796.4731000000002</v>
      </c>
      <c r="BY330" s="44">
        <v>8687954.0879004374</v>
      </c>
    </row>
    <row r="331" spans="1:77">
      <c r="A331">
        <v>0</v>
      </c>
      <c r="B331" s="60">
        <v>145878</v>
      </c>
      <c r="C331" s="60">
        <v>3304032</v>
      </c>
      <c r="D331" s="61" t="s">
        <v>1036</v>
      </c>
      <c r="E331" s="52">
        <v>618</v>
      </c>
      <c r="F331" s="52">
        <v>0</v>
      </c>
      <c r="G331" s="52">
        <v>618</v>
      </c>
      <c r="H331" s="44">
        <v>0</v>
      </c>
      <c r="I331" s="44">
        <v>1889860.2</v>
      </c>
      <c r="J331" s="44">
        <v>1380451.4343000001</v>
      </c>
      <c r="K331" s="44">
        <v>0</v>
      </c>
      <c r="L331" s="44">
        <v>121946.53519999998</v>
      </c>
      <c r="M331" s="44">
        <v>0</v>
      </c>
      <c r="N331" s="44">
        <v>333566.72399999993</v>
      </c>
      <c r="O331" s="44">
        <v>0</v>
      </c>
      <c r="P331" s="44">
        <v>0</v>
      </c>
      <c r="Q331" s="44">
        <v>0</v>
      </c>
      <c r="R331" s="44">
        <v>0</v>
      </c>
      <c r="S331" s="44">
        <v>0</v>
      </c>
      <c r="T331" s="44">
        <v>0</v>
      </c>
      <c r="U331" s="44">
        <v>8543.6596920583434</v>
      </c>
      <c r="V331" s="44">
        <v>71465.200482982284</v>
      </c>
      <c r="W331" s="44">
        <v>51292.112245380755</v>
      </c>
      <c r="X331" s="44">
        <v>101257.44439740659</v>
      </c>
      <c r="Y331" s="44">
        <v>112313.94517536453</v>
      </c>
      <c r="Z331" s="44">
        <v>13297.954325445708</v>
      </c>
      <c r="AA331" s="44">
        <v>0</v>
      </c>
      <c r="AB331" s="44">
        <v>52744.630797073223</v>
      </c>
      <c r="AC331" s="44">
        <v>0</v>
      </c>
      <c r="AD331" s="44">
        <v>187907.21763941526</v>
      </c>
      <c r="AE331" s="44">
        <v>0</v>
      </c>
      <c r="AF331" s="44">
        <v>0</v>
      </c>
      <c r="AG331" s="44">
        <v>138243.54</v>
      </c>
      <c r="AH331" s="44">
        <v>0</v>
      </c>
      <c r="AI331" s="44">
        <v>0</v>
      </c>
      <c r="AJ331" s="44">
        <v>0</v>
      </c>
      <c r="AK331" s="44">
        <v>50614.6944</v>
      </c>
      <c r="AL331" s="44">
        <v>0</v>
      </c>
      <c r="AM331" s="44">
        <v>0</v>
      </c>
      <c r="AN331" s="44">
        <v>0</v>
      </c>
      <c r="AO331" s="44">
        <v>0</v>
      </c>
      <c r="AP331" s="44">
        <v>0</v>
      </c>
      <c r="AQ331" s="44">
        <v>0</v>
      </c>
      <c r="AR331" s="44">
        <v>0</v>
      </c>
      <c r="AS331" s="44">
        <v>0</v>
      </c>
      <c r="AT331" s="44">
        <v>3270311.6343</v>
      </c>
      <c r="AU331" s="44">
        <v>1054335.4239551264</v>
      </c>
      <c r="AV331" s="44">
        <v>188858.23440000002</v>
      </c>
      <c r="AW331" s="44">
        <v>758264.58711373445</v>
      </c>
      <c r="AX331" s="62">
        <v>4513505.2926551271</v>
      </c>
      <c r="AY331" s="62">
        <v>4462890.5982551267</v>
      </c>
      <c r="AZ331" s="62">
        <v>5995</v>
      </c>
      <c r="BA331" s="62">
        <v>3704910</v>
      </c>
      <c r="BB331" s="62">
        <v>0</v>
      </c>
      <c r="BC331" s="62">
        <v>0</v>
      </c>
      <c r="BD331" s="62">
        <v>4513505.2926551271</v>
      </c>
      <c r="BE331" s="44">
        <v>0</v>
      </c>
      <c r="BF331" s="44">
        <v>4513505.2926551271</v>
      </c>
      <c r="BG331" s="62">
        <v>3755524.6943999999</v>
      </c>
      <c r="BH331" s="62">
        <v>3566666.46</v>
      </c>
      <c r="BI331" s="44">
        <v>4324647.0582551267</v>
      </c>
      <c r="BJ331" s="44">
        <v>6997.8107738756098</v>
      </c>
      <c r="BK331" s="44">
        <v>6933.8276952302622</v>
      </c>
      <c r="BL331" s="45">
        <v>9.2276706975803861E-3</v>
      </c>
      <c r="BM331" s="45">
        <v>0</v>
      </c>
      <c r="BN331" s="44">
        <v>0</v>
      </c>
      <c r="BO331" s="62">
        <v>4513505.2926551271</v>
      </c>
      <c r="BP331" s="62">
        <v>7221.505822419299</v>
      </c>
      <c r="BQ331" s="62" t="s">
        <v>92</v>
      </c>
      <c r="BR331" s="62">
        <v>7303.4066224192993</v>
      </c>
      <c r="BS331" s="53">
        <v>1.8768047073315586E-2</v>
      </c>
      <c r="BT331" s="44">
        <v>0</v>
      </c>
      <c r="BU331" s="44">
        <v>4513505.2926551271</v>
      </c>
      <c r="BV331" s="44">
        <v>0</v>
      </c>
      <c r="BW331" s="44">
        <v>4513505.2926551271</v>
      </c>
      <c r="BX331" s="44">
        <v>50614.6944</v>
      </c>
      <c r="BY331" s="44">
        <v>4462890.5982551267</v>
      </c>
    </row>
    <row r="332" spans="1:77">
      <c r="A332">
        <v>0</v>
      </c>
      <c r="B332" s="60">
        <v>147201</v>
      </c>
      <c r="C332" s="60">
        <v>3304035</v>
      </c>
      <c r="D332" s="61" t="s">
        <v>1037</v>
      </c>
      <c r="E332" s="52">
        <v>621</v>
      </c>
      <c r="F332" s="52">
        <v>0</v>
      </c>
      <c r="G332" s="52">
        <v>621</v>
      </c>
      <c r="H332" s="44">
        <v>0</v>
      </c>
      <c r="I332" s="44">
        <v>1879780.9456</v>
      </c>
      <c r="J332" s="44">
        <v>1408855.7848</v>
      </c>
      <c r="K332" s="44">
        <v>0</v>
      </c>
      <c r="L332" s="44">
        <v>107686.65810000004</v>
      </c>
      <c r="M332" s="44">
        <v>0</v>
      </c>
      <c r="N332" s="44">
        <v>310686.69600000029</v>
      </c>
      <c r="O332" s="44">
        <v>0</v>
      </c>
      <c r="P332" s="44">
        <v>0</v>
      </c>
      <c r="Q332" s="44">
        <v>0</v>
      </c>
      <c r="R332" s="44">
        <v>0</v>
      </c>
      <c r="S332" s="44">
        <v>0</v>
      </c>
      <c r="T332" s="44">
        <v>0</v>
      </c>
      <c r="U332" s="44">
        <v>14011.492189354834</v>
      </c>
      <c r="V332" s="44">
        <v>40255.399008870918</v>
      </c>
      <c r="W332" s="44">
        <v>65856.023547096789</v>
      </c>
      <c r="X332" s="44">
        <v>135933.58706516109</v>
      </c>
      <c r="Y332" s="44">
        <v>65453.972121290441</v>
      </c>
      <c r="Z332" s="44">
        <v>31344.932631774194</v>
      </c>
      <c r="AA332" s="44">
        <v>0</v>
      </c>
      <c r="AB332" s="44">
        <v>28173.786506879187</v>
      </c>
      <c r="AC332" s="44">
        <v>0</v>
      </c>
      <c r="AD332" s="44">
        <v>161139.69107166008</v>
      </c>
      <c r="AE332" s="44">
        <v>0</v>
      </c>
      <c r="AF332" s="44">
        <v>0</v>
      </c>
      <c r="AG332" s="44">
        <v>138243.54</v>
      </c>
      <c r="AH332" s="44">
        <v>0</v>
      </c>
      <c r="AI332" s="44">
        <v>0</v>
      </c>
      <c r="AJ332" s="44">
        <v>0</v>
      </c>
      <c r="AK332" s="44">
        <v>11235.9301</v>
      </c>
      <c r="AL332" s="44">
        <v>0</v>
      </c>
      <c r="AM332" s="44">
        <v>0</v>
      </c>
      <c r="AN332" s="44">
        <v>0</v>
      </c>
      <c r="AO332" s="44">
        <v>0</v>
      </c>
      <c r="AP332" s="44">
        <v>0</v>
      </c>
      <c r="AQ332" s="44">
        <v>0</v>
      </c>
      <c r="AR332" s="44">
        <v>0</v>
      </c>
      <c r="AS332" s="44">
        <v>0</v>
      </c>
      <c r="AT332" s="44">
        <v>3288636.7303999998</v>
      </c>
      <c r="AU332" s="44">
        <v>960542.23824208789</v>
      </c>
      <c r="AV332" s="44">
        <v>149479.47010000001</v>
      </c>
      <c r="AW332" s="44">
        <v>711185.9079234344</v>
      </c>
      <c r="AX332" s="62">
        <v>4398658.4387420872</v>
      </c>
      <c r="AY332" s="62">
        <v>4387422.5086420868</v>
      </c>
      <c r="AZ332" s="62">
        <v>5995</v>
      </c>
      <c r="BA332" s="62">
        <v>3722895</v>
      </c>
      <c r="BB332" s="62">
        <v>0</v>
      </c>
      <c r="BC332" s="62">
        <v>0</v>
      </c>
      <c r="BD332" s="62">
        <v>4398658.4387420872</v>
      </c>
      <c r="BE332" s="44">
        <v>0</v>
      </c>
      <c r="BF332" s="44">
        <v>4398658.4387420872</v>
      </c>
      <c r="BG332" s="62">
        <v>3734130.9301</v>
      </c>
      <c r="BH332" s="62">
        <v>3584651.46</v>
      </c>
      <c r="BI332" s="44">
        <v>4249178.9686420867</v>
      </c>
      <c r="BJ332" s="44">
        <v>6842.4782103737307</v>
      </c>
      <c r="BK332" s="44">
        <v>6824.0464851913475</v>
      </c>
      <c r="BL332" s="45">
        <v>2.7009964282015487E-3</v>
      </c>
      <c r="BM332" s="45">
        <v>2.2990035717984515E-3</v>
      </c>
      <c r="BN332" s="44">
        <v>9742.5629982591909</v>
      </c>
      <c r="BO332" s="62">
        <v>4408401.0017403467</v>
      </c>
      <c r="BP332" s="62">
        <v>7080.7811137525705</v>
      </c>
      <c r="BQ332" s="62" t="s">
        <v>92</v>
      </c>
      <c r="BR332" s="62">
        <v>7098.8743989377563</v>
      </c>
      <c r="BS332" s="53">
        <v>-5.1793726625467551E-3</v>
      </c>
      <c r="BT332" s="44">
        <v>0</v>
      </c>
      <c r="BU332" s="44">
        <v>4408401.0017403467</v>
      </c>
      <c r="BV332" s="44">
        <v>0</v>
      </c>
      <c r="BW332" s="44">
        <v>4408401.0017403467</v>
      </c>
      <c r="BX332" s="44">
        <v>11235.9301</v>
      </c>
      <c r="BY332" s="44">
        <v>4397165.0716403462</v>
      </c>
    </row>
    <row r="333" spans="1:77">
      <c r="A333">
        <v>0</v>
      </c>
      <c r="B333" s="60">
        <v>147440</v>
      </c>
      <c r="C333" s="60">
        <v>3304036</v>
      </c>
      <c r="D333" s="61" t="s">
        <v>1038</v>
      </c>
      <c r="E333" s="52">
        <v>420</v>
      </c>
      <c r="F333" s="52">
        <v>0</v>
      </c>
      <c r="G333" s="52">
        <v>420</v>
      </c>
      <c r="H333" s="44">
        <v>0</v>
      </c>
      <c r="I333" s="44">
        <v>1295184.1904</v>
      </c>
      <c r="J333" s="44">
        <v>925981.82630000007</v>
      </c>
      <c r="K333" s="44">
        <v>0</v>
      </c>
      <c r="L333" s="44">
        <v>135222.97250000006</v>
      </c>
      <c r="M333" s="44">
        <v>0</v>
      </c>
      <c r="N333" s="44">
        <v>351629.90399999986</v>
      </c>
      <c r="O333" s="44">
        <v>0</v>
      </c>
      <c r="P333" s="44">
        <v>0</v>
      </c>
      <c r="Q333" s="44">
        <v>0</v>
      </c>
      <c r="R333" s="44">
        <v>0</v>
      </c>
      <c r="S333" s="44">
        <v>0</v>
      </c>
      <c r="T333" s="44">
        <v>0</v>
      </c>
      <c r="U333" s="44">
        <v>5459.0944</v>
      </c>
      <c r="V333" s="44">
        <v>5870.5335000000086</v>
      </c>
      <c r="W333" s="44">
        <v>8850.9581999999918</v>
      </c>
      <c r="X333" s="44">
        <v>49854.376799999889</v>
      </c>
      <c r="Y333" s="44">
        <v>170054.80459999992</v>
      </c>
      <c r="Z333" s="44">
        <v>53105.746399999865</v>
      </c>
      <c r="AA333" s="44">
        <v>0</v>
      </c>
      <c r="AB333" s="44">
        <v>14349.234544152734</v>
      </c>
      <c r="AC333" s="44">
        <v>0</v>
      </c>
      <c r="AD333" s="44">
        <v>262870.17782070447</v>
      </c>
      <c r="AE333" s="44">
        <v>0</v>
      </c>
      <c r="AF333" s="44">
        <v>0</v>
      </c>
      <c r="AG333" s="44">
        <v>138243.54</v>
      </c>
      <c r="AH333" s="44">
        <v>0</v>
      </c>
      <c r="AI333" s="44">
        <v>0</v>
      </c>
      <c r="AJ333" s="44">
        <v>0</v>
      </c>
      <c r="AK333" s="44">
        <v>42187.749400000001</v>
      </c>
      <c r="AL333" s="44">
        <v>0</v>
      </c>
      <c r="AM333" s="44">
        <v>0</v>
      </c>
      <c r="AN333" s="44">
        <v>0</v>
      </c>
      <c r="AO333" s="44">
        <v>0</v>
      </c>
      <c r="AP333" s="44">
        <v>0</v>
      </c>
      <c r="AQ333" s="44">
        <v>0</v>
      </c>
      <c r="AR333" s="44">
        <v>0</v>
      </c>
      <c r="AS333" s="44">
        <v>0</v>
      </c>
      <c r="AT333" s="44">
        <v>2221166.0167</v>
      </c>
      <c r="AU333" s="44">
        <v>1057267.8027648567</v>
      </c>
      <c r="AV333" s="44">
        <v>180431.28940000001</v>
      </c>
      <c r="AW333" s="44">
        <v>763952.67385570426</v>
      </c>
      <c r="AX333" s="62">
        <v>3458865.1088648569</v>
      </c>
      <c r="AY333" s="62">
        <v>3416677.3594648568</v>
      </c>
      <c r="AZ333" s="62">
        <v>5995</v>
      </c>
      <c r="BA333" s="62">
        <v>2517900</v>
      </c>
      <c r="BB333" s="62">
        <v>0</v>
      </c>
      <c r="BC333" s="62">
        <v>0</v>
      </c>
      <c r="BD333" s="62">
        <v>3458865.1088648569</v>
      </c>
      <c r="BE333" s="44">
        <v>0</v>
      </c>
      <c r="BF333" s="44">
        <v>3458865.1088648564</v>
      </c>
      <c r="BG333" s="62">
        <v>2560087.7494000001</v>
      </c>
      <c r="BH333" s="62">
        <v>2379656.46</v>
      </c>
      <c r="BI333" s="44">
        <v>3278433.8194648568</v>
      </c>
      <c r="BJ333" s="44">
        <v>7805.7948082496587</v>
      </c>
      <c r="BK333" s="44">
        <v>7760.7408218045102</v>
      </c>
      <c r="BL333" s="45">
        <v>5.8053718684387898E-3</v>
      </c>
      <c r="BM333" s="45">
        <v>0</v>
      </c>
      <c r="BN333" s="44">
        <v>0</v>
      </c>
      <c r="BO333" s="62">
        <v>3458865.1088648569</v>
      </c>
      <c r="BP333" s="62">
        <v>8134.9460939639448</v>
      </c>
      <c r="BQ333" s="62" t="s">
        <v>92</v>
      </c>
      <c r="BR333" s="62">
        <v>8235.3931163448979</v>
      </c>
      <c r="BS333" s="53">
        <v>1.2396157001806074E-2</v>
      </c>
      <c r="BT333" s="44">
        <v>0</v>
      </c>
      <c r="BU333" s="44">
        <v>3458865.1088648569</v>
      </c>
      <c r="BV333" s="44">
        <v>0</v>
      </c>
      <c r="BW333" s="44">
        <v>3458865.1088648569</v>
      </c>
      <c r="BX333" s="44">
        <v>42187.749400000001</v>
      </c>
      <c r="BY333" s="44">
        <v>3416677.3594648568</v>
      </c>
    </row>
    <row r="334" spans="1:77">
      <c r="A334">
        <v>0</v>
      </c>
      <c r="B334" s="60">
        <v>148187</v>
      </c>
      <c r="C334" s="60">
        <v>3304039</v>
      </c>
      <c r="D334" s="61" t="s">
        <v>1039</v>
      </c>
      <c r="E334" s="52">
        <v>636</v>
      </c>
      <c r="F334" s="52">
        <v>0</v>
      </c>
      <c r="G334" s="52">
        <v>636</v>
      </c>
      <c r="H334" s="44">
        <v>0</v>
      </c>
      <c r="I334" s="44">
        <v>1647958.0944000001</v>
      </c>
      <c r="J334" s="44">
        <v>1755388.8609</v>
      </c>
      <c r="K334" s="44">
        <v>0</v>
      </c>
      <c r="L334" s="44">
        <v>161775.84710000007</v>
      </c>
      <c r="M334" s="44">
        <v>0</v>
      </c>
      <c r="N334" s="44">
        <v>482889.01199999993</v>
      </c>
      <c r="O334" s="44">
        <v>0</v>
      </c>
      <c r="P334" s="44">
        <v>0</v>
      </c>
      <c r="Q334" s="44">
        <v>0</v>
      </c>
      <c r="R334" s="44">
        <v>0</v>
      </c>
      <c r="S334" s="44">
        <v>0</v>
      </c>
      <c r="T334" s="44">
        <v>0</v>
      </c>
      <c r="U334" s="44">
        <v>11960.574935433076</v>
      </c>
      <c r="V334" s="44">
        <v>28042.020226771667</v>
      </c>
      <c r="W334" s="44">
        <v>48756.931942677154</v>
      </c>
      <c r="X334" s="44">
        <v>54093.96159874001</v>
      </c>
      <c r="Y334" s="44">
        <v>122721.52937952739</v>
      </c>
      <c r="Z334" s="44">
        <v>156718.70155275569</v>
      </c>
      <c r="AA334" s="44">
        <v>0</v>
      </c>
      <c r="AB334" s="44">
        <v>179086.77308899569</v>
      </c>
      <c r="AC334" s="44">
        <v>0</v>
      </c>
      <c r="AD334" s="44">
        <v>374409.06294369849</v>
      </c>
      <c r="AE334" s="44">
        <v>0</v>
      </c>
      <c r="AF334" s="44">
        <v>54974.027640648594</v>
      </c>
      <c r="AG334" s="44">
        <v>138243.54</v>
      </c>
      <c r="AH334" s="44">
        <v>0</v>
      </c>
      <c r="AI334" s="44">
        <v>0</v>
      </c>
      <c r="AJ334" s="44">
        <v>0</v>
      </c>
      <c r="AK334" s="44">
        <v>0</v>
      </c>
      <c r="AL334" s="44">
        <v>0</v>
      </c>
      <c r="AM334" s="44">
        <v>0</v>
      </c>
      <c r="AN334" s="44">
        <v>0</v>
      </c>
      <c r="AO334" s="44">
        <v>0</v>
      </c>
      <c r="AP334" s="44">
        <v>0</v>
      </c>
      <c r="AQ334" s="44">
        <v>0</v>
      </c>
      <c r="AR334" s="44">
        <v>0</v>
      </c>
      <c r="AS334" s="44">
        <v>0</v>
      </c>
      <c r="AT334" s="44">
        <v>3403346.9553</v>
      </c>
      <c r="AU334" s="44">
        <v>1675428.4424092476</v>
      </c>
      <c r="AV334" s="44">
        <v>138243.54</v>
      </c>
      <c r="AW334" s="44">
        <v>1078055.7000766508</v>
      </c>
      <c r="AX334" s="62">
        <v>5217018.9377092477</v>
      </c>
      <c r="AY334" s="62">
        <v>5217018.9377092477</v>
      </c>
      <c r="AZ334" s="62">
        <v>5995</v>
      </c>
      <c r="BA334" s="62">
        <v>3812820</v>
      </c>
      <c r="BB334" s="62">
        <v>0</v>
      </c>
      <c r="BC334" s="62">
        <v>0</v>
      </c>
      <c r="BD334" s="62">
        <v>5217018.9377092477</v>
      </c>
      <c r="BE334" s="44">
        <v>0</v>
      </c>
      <c r="BF334" s="44">
        <v>5217018.9377092477</v>
      </c>
      <c r="BG334" s="62">
        <v>3812820</v>
      </c>
      <c r="BH334" s="62">
        <v>3674576.46</v>
      </c>
      <c r="BI334" s="44">
        <v>5078775.3977092477</v>
      </c>
      <c r="BJ334" s="44">
        <v>7985.4959083478734</v>
      </c>
      <c r="BK334" s="44">
        <v>7883.3134353333326</v>
      </c>
      <c r="BL334" s="45">
        <v>1.2961868616888278E-2</v>
      </c>
      <c r="BM334" s="45">
        <v>0</v>
      </c>
      <c r="BN334" s="44">
        <v>0</v>
      </c>
      <c r="BO334" s="62">
        <v>5217018.9377092477</v>
      </c>
      <c r="BP334" s="62">
        <v>8202.8599649516473</v>
      </c>
      <c r="BQ334" s="62" t="s">
        <v>92</v>
      </c>
      <c r="BR334" s="62">
        <v>8202.8599649516473</v>
      </c>
      <c r="BS334" s="53">
        <v>9.9245695476031237E-3</v>
      </c>
      <c r="BT334" s="44">
        <v>0</v>
      </c>
      <c r="BU334" s="44">
        <v>5217018.9377092477</v>
      </c>
      <c r="BV334" s="44">
        <v>0</v>
      </c>
      <c r="BW334" s="44">
        <v>5217018.9377092477</v>
      </c>
      <c r="BX334" s="44">
        <v>0</v>
      </c>
      <c r="BY334" s="44">
        <v>5217018.9377092477</v>
      </c>
    </row>
    <row r="335" spans="1:77">
      <c r="A335">
        <v>0</v>
      </c>
      <c r="B335" s="60">
        <v>148521</v>
      </c>
      <c r="C335" s="60">
        <v>3304040</v>
      </c>
      <c r="D335" s="61" t="s">
        <v>1040</v>
      </c>
      <c r="E335" s="52">
        <v>539</v>
      </c>
      <c r="F335" s="52">
        <v>0</v>
      </c>
      <c r="G335" s="52">
        <v>539</v>
      </c>
      <c r="H335" s="44">
        <v>0</v>
      </c>
      <c r="I335" s="44">
        <v>1647958.0944000001</v>
      </c>
      <c r="J335" s="44">
        <v>1204344.4612</v>
      </c>
      <c r="K335" s="44">
        <v>0</v>
      </c>
      <c r="L335" s="44">
        <v>109653.53769999993</v>
      </c>
      <c r="M335" s="44">
        <v>0</v>
      </c>
      <c r="N335" s="44">
        <v>350425.69200000027</v>
      </c>
      <c r="O335" s="44">
        <v>0</v>
      </c>
      <c r="P335" s="44">
        <v>0</v>
      </c>
      <c r="Q335" s="44">
        <v>0</v>
      </c>
      <c r="R335" s="44">
        <v>0</v>
      </c>
      <c r="S335" s="44">
        <v>0</v>
      </c>
      <c r="T335" s="44">
        <v>0</v>
      </c>
      <c r="U335" s="44">
        <v>14330.122799999997</v>
      </c>
      <c r="V335" s="44">
        <v>7676.8514999999934</v>
      </c>
      <c r="W335" s="44">
        <v>19598.550300000003</v>
      </c>
      <c r="X335" s="44">
        <v>71319.455699999919</v>
      </c>
      <c r="Y335" s="44">
        <v>118072.98659999996</v>
      </c>
      <c r="Z335" s="44">
        <v>49312.478800000019</v>
      </c>
      <c r="AA335" s="44">
        <v>0</v>
      </c>
      <c r="AB335" s="44">
        <v>28630.139399999996</v>
      </c>
      <c r="AC335" s="44">
        <v>0</v>
      </c>
      <c r="AD335" s="44">
        <v>257455.02401289006</v>
      </c>
      <c r="AE335" s="44">
        <v>0</v>
      </c>
      <c r="AF335" s="44">
        <v>14762.434907999994</v>
      </c>
      <c r="AG335" s="44">
        <v>138243.54</v>
      </c>
      <c r="AH335" s="44">
        <v>0</v>
      </c>
      <c r="AI335" s="44">
        <v>0</v>
      </c>
      <c r="AJ335" s="44">
        <v>0</v>
      </c>
      <c r="AK335" s="44">
        <v>0</v>
      </c>
      <c r="AL335" s="44">
        <v>0</v>
      </c>
      <c r="AM335" s="44">
        <v>0</v>
      </c>
      <c r="AN335" s="44">
        <v>0</v>
      </c>
      <c r="AO335" s="44">
        <v>0</v>
      </c>
      <c r="AP335" s="44">
        <v>0</v>
      </c>
      <c r="AQ335" s="44">
        <v>0</v>
      </c>
      <c r="AR335" s="44">
        <v>0</v>
      </c>
      <c r="AS335" s="44">
        <v>0</v>
      </c>
      <c r="AT335" s="44">
        <v>2852302.5556000001</v>
      </c>
      <c r="AU335" s="44">
        <v>1041237.2737208901</v>
      </c>
      <c r="AV335" s="44">
        <v>138243.54</v>
      </c>
      <c r="AW335" s="44">
        <v>770264.98949289019</v>
      </c>
      <c r="AX335" s="62">
        <v>4031783.3693208899</v>
      </c>
      <c r="AY335" s="62">
        <v>4031783.3693208899</v>
      </c>
      <c r="AZ335" s="62">
        <v>5995</v>
      </c>
      <c r="BA335" s="62">
        <v>3231305</v>
      </c>
      <c r="BB335" s="62">
        <v>0</v>
      </c>
      <c r="BC335" s="62">
        <v>0</v>
      </c>
      <c r="BD335" s="62">
        <v>4031783.3693208899</v>
      </c>
      <c r="BE335" s="44">
        <v>0</v>
      </c>
      <c r="BF335" s="44">
        <v>4031783.3693208899</v>
      </c>
      <c r="BG335" s="62">
        <v>3231305</v>
      </c>
      <c r="BH335" s="62">
        <v>3093061.46</v>
      </c>
      <c r="BI335" s="44">
        <v>3893539.8293208899</v>
      </c>
      <c r="BJ335" s="44">
        <v>7223.6360469775327</v>
      </c>
      <c r="BK335" s="44">
        <v>7079.1608166023161</v>
      </c>
      <c r="BL335" s="45">
        <v>2.0408524981716452E-2</v>
      </c>
      <c r="BM335" s="45">
        <v>0</v>
      </c>
      <c r="BN335" s="44">
        <v>0</v>
      </c>
      <c r="BO335" s="62">
        <v>4031783.3693208899</v>
      </c>
      <c r="BP335" s="62">
        <v>7480.1175683133397</v>
      </c>
      <c r="BQ335" s="62" t="s">
        <v>92</v>
      </c>
      <c r="BR335" s="62">
        <v>7480.1175683133397</v>
      </c>
      <c r="BS335" s="53">
        <v>1.8251646673271171E-2</v>
      </c>
      <c r="BT335" s="44">
        <v>0</v>
      </c>
      <c r="BU335" s="44">
        <v>4031783.3693208899</v>
      </c>
      <c r="BV335" s="44">
        <v>0</v>
      </c>
      <c r="BW335" s="44">
        <v>4031783.3693208899</v>
      </c>
      <c r="BX335" s="44">
        <v>0</v>
      </c>
      <c r="BY335" s="44">
        <v>4031783.3693208899</v>
      </c>
    </row>
    <row r="336" spans="1:77">
      <c r="A336">
        <v>0</v>
      </c>
      <c r="B336" s="60">
        <v>148553</v>
      </c>
      <c r="C336" s="60">
        <v>3304041</v>
      </c>
      <c r="D336" s="61" t="s">
        <v>1041</v>
      </c>
      <c r="E336" s="52">
        <v>675</v>
      </c>
      <c r="F336" s="52">
        <v>0</v>
      </c>
      <c r="G336" s="52">
        <v>675</v>
      </c>
      <c r="H336" s="44">
        <v>0</v>
      </c>
      <c r="I336" s="44">
        <v>2872587.5039999997</v>
      </c>
      <c r="J336" s="44">
        <v>596491.36049999995</v>
      </c>
      <c r="K336" s="44">
        <v>0</v>
      </c>
      <c r="L336" s="44">
        <v>111219.27738157907</v>
      </c>
      <c r="M336" s="44">
        <v>0</v>
      </c>
      <c r="N336" s="44">
        <v>390735.10421052645</v>
      </c>
      <c r="O336" s="44">
        <v>0</v>
      </c>
      <c r="P336" s="44">
        <v>0</v>
      </c>
      <c r="Q336" s="44">
        <v>0</v>
      </c>
      <c r="R336" s="44">
        <v>0</v>
      </c>
      <c r="S336" s="44">
        <v>0</v>
      </c>
      <c r="T336" s="44">
        <v>0</v>
      </c>
      <c r="U336" s="44">
        <v>44848.974552631546</v>
      </c>
      <c r="V336" s="44">
        <v>41711.685394736873</v>
      </c>
      <c r="W336" s="44">
        <v>82353.840394736908</v>
      </c>
      <c r="X336" s="44">
        <v>96756.849710526265</v>
      </c>
      <c r="Y336" s="44">
        <v>93215.515736842237</v>
      </c>
      <c r="Z336" s="44">
        <v>11230.068552631576</v>
      </c>
      <c r="AA336" s="44">
        <v>0</v>
      </c>
      <c r="AB336" s="44">
        <v>58390.415881578949</v>
      </c>
      <c r="AC336" s="44">
        <v>0</v>
      </c>
      <c r="AD336" s="44">
        <v>221269.70258458937</v>
      </c>
      <c r="AE336" s="44">
        <v>0</v>
      </c>
      <c r="AF336" s="44">
        <v>0</v>
      </c>
      <c r="AG336" s="44">
        <v>138243.54</v>
      </c>
      <c r="AH336" s="44">
        <v>0</v>
      </c>
      <c r="AI336" s="44">
        <v>0</v>
      </c>
      <c r="AJ336" s="44">
        <v>0</v>
      </c>
      <c r="AK336" s="44">
        <v>0</v>
      </c>
      <c r="AL336" s="44">
        <v>0</v>
      </c>
      <c r="AM336" s="44">
        <v>0</v>
      </c>
      <c r="AN336" s="44">
        <v>0</v>
      </c>
      <c r="AO336" s="44">
        <v>0</v>
      </c>
      <c r="AP336" s="44">
        <v>0</v>
      </c>
      <c r="AQ336" s="44">
        <v>0</v>
      </c>
      <c r="AR336" s="44">
        <v>0</v>
      </c>
      <c r="AS336" s="44">
        <v>0</v>
      </c>
      <c r="AT336" s="44">
        <v>3469078.8644999997</v>
      </c>
      <c r="AU336" s="44">
        <v>1151731.434400379</v>
      </c>
      <c r="AV336" s="44">
        <v>138243.54</v>
      </c>
      <c r="AW336" s="44">
        <v>830759.30377669481</v>
      </c>
      <c r="AX336" s="62">
        <v>4759053.8389003789</v>
      </c>
      <c r="AY336" s="62">
        <v>4759053.8389003789</v>
      </c>
      <c r="AZ336" s="62">
        <v>5911</v>
      </c>
      <c r="BA336" s="62">
        <v>3989925</v>
      </c>
      <c r="BB336" s="62">
        <v>0</v>
      </c>
      <c r="BC336" s="62">
        <v>0</v>
      </c>
      <c r="BD336" s="62">
        <v>4759053.8389003789</v>
      </c>
      <c r="BE336" s="44">
        <v>0</v>
      </c>
      <c r="BF336" s="44">
        <v>4759053.8389003789</v>
      </c>
      <c r="BG336" s="62">
        <v>3989925</v>
      </c>
      <c r="BH336" s="62">
        <v>3851681.46</v>
      </c>
      <c r="BI336" s="44">
        <v>4620810.2989003789</v>
      </c>
      <c r="BJ336" s="44">
        <v>6845.6448872598203</v>
      </c>
      <c r="BK336" s="44">
        <v>6577.3320995910017</v>
      </c>
      <c r="BL336" s="45">
        <v>4.0793559395534112E-2</v>
      </c>
      <c r="BM336" s="45">
        <v>0</v>
      </c>
      <c r="BN336" s="44">
        <v>0</v>
      </c>
      <c r="BO336" s="62">
        <v>4759053.8389003789</v>
      </c>
      <c r="BP336" s="62">
        <v>7050.450131704265</v>
      </c>
      <c r="BQ336" s="62" t="s">
        <v>92</v>
      </c>
      <c r="BR336" s="62">
        <v>7050.450131704265</v>
      </c>
      <c r="BS336" s="53">
        <v>2.7756608084811951E-2</v>
      </c>
      <c r="BT336" s="44">
        <v>0</v>
      </c>
      <c r="BU336" s="44">
        <v>4759053.8389003789</v>
      </c>
      <c r="BV336" s="44">
        <v>0</v>
      </c>
      <c r="BW336" s="44">
        <v>4759053.8389003789</v>
      </c>
      <c r="BX336" s="44">
        <v>0</v>
      </c>
      <c r="BY336" s="44">
        <v>4759053.8389003789</v>
      </c>
    </row>
    <row r="337" spans="1:77">
      <c r="A337">
        <v>0</v>
      </c>
      <c r="B337" s="60">
        <v>148589</v>
      </c>
      <c r="C337" s="60">
        <v>3304042</v>
      </c>
      <c r="D337" s="61" t="s">
        <v>1042</v>
      </c>
      <c r="E337" s="52">
        <v>684</v>
      </c>
      <c r="F337" s="52">
        <v>0</v>
      </c>
      <c r="G337" s="52">
        <v>684</v>
      </c>
      <c r="H337" s="44">
        <v>0</v>
      </c>
      <c r="I337" s="44">
        <v>2917944.1488000001</v>
      </c>
      <c r="J337" s="44">
        <v>596491.36049999995</v>
      </c>
      <c r="K337" s="44">
        <v>0</v>
      </c>
      <c r="L337" s="44">
        <v>148127.43516062186</v>
      </c>
      <c r="M337" s="44">
        <v>0</v>
      </c>
      <c r="N337" s="44">
        <v>401171.06089119148</v>
      </c>
      <c r="O337" s="44">
        <v>0</v>
      </c>
      <c r="P337" s="44">
        <v>0</v>
      </c>
      <c r="Q337" s="44">
        <v>0</v>
      </c>
      <c r="R337" s="44">
        <v>0</v>
      </c>
      <c r="S337" s="44">
        <v>0</v>
      </c>
      <c r="T337" s="44">
        <v>0</v>
      </c>
      <c r="U337" s="44">
        <v>20556.460389637294</v>
      </c>
      <c r="V337" s="44">
        <v>28274.024238341972</v>
      </c>
      <c r="W337" s="44">
        <v>65723.769550259094</v>
      </c>
      <c r="X337" s="44">
        <v>49897.428938859928</v>
      </c>
      <c r="Y337" s="44">
        <v>135976.12495336766</v>
      </c>
      <c r="Z337" s="44">
        <v>32488.452553367912</v>
      </c>
      <c r="AA337" s="44">
        <v>0</v>
      </c>
      <c r="AB337" s="44">
        <v>13153.051952331653</v>
      </c>
      <c r="AC337" s="44">
        <v>0</v>
      </c>
      <c r="AD337" s="44">
        <v>256499.72135981428</v>
      </c>
      <c r="AE337" s="44">
        <v>0</v>
      </c>
      <c r="AF337" s="44">
        <v>0</v>
      </c>
      <c r="AG337" s="44">
        <v>138243.54</v>
      </c>
      <c r="AH337" s="44">
        <v>0</v>
      </c>
      <c r="AI337" s="44">
        <v>0</v>
      </c>
      <c r="AJ337" s="44">
        <v>0</v>
      </c>
      <c r="AK337" s="44">
        <v>0</v>
      </c>
      <c r="AL337" s="44">
        <v>0</v>
      </c>
      <c r="AM337" s="44">
        <v>0</v>
      </c>
      <c r="AN337" s="44">
        <v>0</v>
      </c>
      <c r="AO337" s="44">
        <v>0</v>
      </c>
      <c r="AP337" s="44">
        <v>0</v>
      </c>
      <c r="AQ337" s="44">
        <v>0</v>
      </c>
      <c r="AR337" s="44">
        <v>0</v>
      </c>
      <c r="AS337" s="44">
        <v>0</v>
      </c>
      <c r="AT337" s="44">
        <v>3514435.5093</v>
      </c>
      <c r="AU337" s="44">
        <v>1151867.5299877932</v>
      </c>
      <c r="AV337" s="44">
        <v>138243.54</v>
      </c>
      <c r="AW337" s="44">
        <v>873328.87516263791</v>
      </c>
      <c r="AX337" s="62">
        <v>4804546.5792877935</v>
      </c>
      <c r="AY337" s="62">
        <v>4804546.5792877935</v>
      </c>
      <c r="AZ337" s="62">
        <v>5911</v>
      </c>
      <c r="BA337" s="62">
        <v>4043124</v>
      </c>
      <c r="BB337" s="62">
        <v>0</v>
      </c>
      <c r="BC337" s="62">
        <v>0</v>
      </c>
      <c r="BD337" s="62">
        <v>4804546.5792877935</v>
      </c>
      <c r="BE337" s="44">
        <v>0</v>
      </c>
      <c r="BF337" s="44">
        <v>4804546.5792877935</v>
      </c>
      <c r="BG337" s="62">
        <v>4043124</v>
      </c>
      <c r="BH337" s="62">
        <v>3904880.46</v>
      </c>
      <c r="BI337" s="44">
        <v>4666303.0392877935</v>
      </c>
      <c r="BJ337" s="44">
        <v>6822.0804667950197</v>
      </c>
      <c r="BK337" s="44">
        <v>6534.9891497890303</v>
      </c>
      <c r="BL337" s="45">
        <v>4.3931414486779612E-2</v>
      </c>
      <c r="BM337" s="45">
        <v>0</v>
      </c>
      <c r="BN337" s="44">
        <v>0</v>
      </c>
      <c r="BO337" s="62">
        <v>4804546.5792877935</v>
      </c>
      <c r="BP337" s="62">
        <v>7024.1909053915106</v>
      </c>
      <c r="BQ337" s="62" t="s">
        <v>92</v>
      </c>
      <c r="BR337" s="62">
        <v>7024.1909053915106</v>
      </c>
      <c r="BS337" s="53">
        <v>2.8937904198624853E-2</v>
      </c>
      <c r="BT337" s="44">
        <v>0</v>
      </c>
      <c r="BU337" s="44">
        <v>4804546.5792877935</v>
      </c>
      <c r="BV337" s="44">
        <v>0</v>
      </c>
      <c r="BW337" s="44">
        <v>4804546.5792877935</v>
      </c>
      <c r="BX337" s="44">
        <v>0</v>
      </c>
      <c r="BY337" s="44">
        <v>4804546.5792877935</v>
      </c>
    </row>
    <row r="338" spans="1:77">
      <c r="A338">
        <v>0</v>
      </c>
      <c r="B338" s="60">
        <v>149042</v>
      </c>
      <c r="C338" s="60">
        <v>3304044</v>
      </c>
      <c r="D338" s="61" t="s">
        <v>1043</v>
      </c>
      <c r="E338" s="52">
        <v>329.6</v>
      </c>
      <c r="F338" s="52">
        <v>0</v>
      </c>
      <c r="G338" s="52">
        <v>329.6</v>
      </c>
      <c r="H338" s="44">
        <v>0</v>
      </c>
      <c r="I338" s="44">
        <v>1661061.12512</v>
      </c>
      <c r="J338" s="44">
        <v>0</v>
      </c>
      <c r="K338" s="44">
        <v>0</v>
      </c>
      <c r="L338" s="44">
        <v>55692.30978594601</v>
      </c>
      <c r="M338" s="44">
        <v>0</v>
      </c>
      <c r="N338" s="44">
        <v>183895.72596138983</v>
      </c>
      <c r="O338" s="44">
        <v>0</v>
      </c>
      <c r="P338" s="44">
        <v>0</v>
      </c>
      <c r="Q338" s="44">
        <v>0</v>
      </c>
      <c r="R338" s="44">
        <v>0</v>
      </c>
      <c r="S338" s="44">
        <v>0</v>
      </c>
      <c r="T338" s="44">
        <v>0</v>
      </c>
      <c r="U338" s="44">
        <v>8717.6236155038714</v>
      </c>
      <c r="V338" s="44">
        <v>15576.342195348889</v>
      </c>
      <c r="W338" s="44">
        <v>18576.230321860461</v>
      </c>
      <c r="X338" s="44">
        <v>43344.537417674415</v>
      </c>
      <c r="Y338" s="44">
        <v>50280.17620589141</v>
      </c>
      <c r="Z338" s="44">
        <v>35133.303321550455</v>
      </c>
      <c r="AA338" s="44">
        <v>0</v>
      </c>
      <c r="AB338" s="44">
        <v>10159.87720310077</v>
      </c>
      <c r="AC338" s="44">
        <v>0</v>
      </c>
      <c r="AD338" s="44">
        <v>107212.06686239138</v>
      </c>
      <c r="AE338" s="44">
        <v>0</v>
      </c>
      <c r="AF338" s="44">
        <v>0</v>
      </c>
      <c r="AG338" s="44">
        <v>138243.54</v>
      </c>
      <c r="AH338" s="44">
        <v>0</v>
      </c>
      <c r="AI338" s="44">
        <v>0</v>
      </c>
      <c r="AJ338" s="44">
        <v>0</v>
      </c>
      <c r="AK338" s="44">
        <v>18443.8907</v>
      </c>
      <c r="AL338" s="44">
        <v>0</v>
      </c>
      <c r="AM338" s="44">
        <v>0</v>
      </c>
      <c r="AN338" s="44">
        <v>0</v>
      </c>
      <c r="AO338" s="44">
        <v>0</v>
      </c>
      <c r="AP338" s="44">
        <v>0</v>
      </c>
      <c r="AQ338" s="44">
        <v>0</v>
      </c>
      <c r="AR338" s="44">
        <v>0</v>
      </c>
      <c r="AS338" s="44">
        <v>0</v>
      </c>
      <c r="AT338" s="44">
        <v>1661061.12512</v>
      </c>
      <c r="AU338" s="44">
        <v>528588.19289065746</v>
      </c>
      <c r="AV338" s="44">
        <v>156687.4307</v>
      </c>
      <c r="AW338" s="44">
        <v>395873.2475309741</v>
      </c>
      <c r="AX338" s="62">
        <v>2346336.7487106575</v>
      </c>
      <c r="AY338" s="62">
        <v>2327892.8580106576</v>
      </c>
      <c r="AZ338" s="62">
        <v>5771</v>
      </c>
      <c r="BA338" s="62">
        <v>1902121.6</v>
      </c>
      <c r="BB338" s="62">
        <v>0</v>
      </c>
      <c r="BC338" s="62">
        <v>0</v>
      </c>
      <c r="BD338" s="62">
        <v>2346336.7487106575</v>
      </c>
      <c r="BE338" s="44">
        <v>0</v>
      </c>
      <c r="BF338" s="44">
        <v>2346336.748710657</v>
      </c>
      <c r="BG338" s="62">
        <v>1920565.4907000002</v>
      </c>
      <c r="BH338" s="62">
        <v>1763878.06</v>
      </c>
      <c r="BI338" s="44">
        <v>2189649.3180106576</v>
      </c>
      <c r="BJ338" s="44">
        <v>6643.3535133818486</v>
      </c>
      <c r="BK338" s="44">
        <v>6424.5496481481478</v>
      </c>
      <c r="BL338" s="45">
        <v>3.4057463513690843E-2</v>
      </c>
      <c r="BM338" s="45">
        <v>0</v>
      </c>
      <c r="BN338" s="44">
        <v>0</v>
      </c>
      <c r="BO338" s="62">
        <v>2346336.7487106575</v>
      </c>
      <c r="BP338" s="62">
        <v>7062.7817294012666</v>
      </c>
      <c r="BQ338" s="62" t="s">
        <v>92</v>
      </c>
      <c r="BR338" s="62">
        <v>7118.7401356512664</v>
      </c>
      <c r="BS338" s="53">
        <v>-1.8798265548459758E-2</v>
      </c>
      <c r="BT338" s="44">
        <v>0</v>
      </c>
      <c r="BU338" s="44">
        <v>2346336.7487106575</v>
      </c>
      <c r="BV338" s="44">
        <v>0</v>
      </c>
      <c r="BW338" s="44">
        <v>2346336.7487106575</v>
      </c>
      <c r="BX338" s="44">
        <v>18443.8907</v>
      </c>
      <c r="BY338" s="44">
        <v>2327892.8580106576</v>
      </c>
    </row>
    <row r="339" spans="1:77">
      <c r="A339">
        <v>0</v>
      </c>
      <c r="B339" s="60">
        <v>136592</v>
      </c>
      <c r="C339" s="60">
        <v>3304060</v>
      </c>
      <c r="D339" s="61" t="s">
        <v>1044</v>
      </c>
      <c r="E339" s="52">
        <v>760</v>
      </c>
      <c r="F339" s="52">
        <v>0</v>
      </c>
      <c r="G339" s="52">
        <v>760</v>
      </c>
      <c r="H339" s="44">
        <v>0</v>
      </c>
      <c r="I339" s="44">
        <v>2308149.2576000001</v>
      </c>
      <c r="J339" s="44">
        <v>1715622.7702000001</v>
      </c>
      <c r="K339" s="44">
        <v>0</v>
      </c>
      <c r="L339" s="44">
        <v>94901.940700000123</v>
      </c>
      <c r="M339" s="44">
        <v>0</v>
      </c>
      <c r="N339" s="44">
        <v>262518.21600000007</v>
      </c>
      <c r="O339" s="44">
        <v>0</v>
      </c>
      <c r="P339" s="44">
        <v>0</v>
      </c>
      <c r="Q339" s="44">
        <v>0</v>
      </c>
      <c r="R339" s="44">
        <v>0</v>
      </c>
      <c r="S339" s="44">
        <v>0</v>
      </c>
      <c r="T339" s="44">
        <v>0</v>
      </c>
      <c r="U339" s="44">
        <v>25589.505000000005</v>
      </c>
      <c r="V339" s="44">
        <v>38835.836999999963</v>
      </c>
      <c r="W339" s="44">
        <v>54370.171799999953</v>
      </c>
      <c r="X339" s="44">
        <v>42930.15780000003</v>
      </c>
      <c r="Y339" s="44">
        <v>20050.129800000006</v>
      </c>
      <c r="Z339" s="44">
        <v>34139.408400000015</v>
      </c>
      <c r="AA339" s="44">
        <v>0</v>
      </c>
      <c r="AB339" s="44">
        <v>95559.534229249024</v>
      </c>
      <c r="AC339" s="44">
        <v>0</v>
      </c>
      <c r="AD339" s="44">
        <v>253537.4693497589</v>
      </c>
      <c r="AE339" s="44">
        <v>0</v>
      </c>
      <c r="AF339" s="44">
        <v>0</v>
      </c>
      <c r="AG339" s="44">
        <v>138243.54</v>
      </c>
      <c r="AH339" s="44">
        <v>0</v>
      </c>
      <c r="AI339" s="44">
        <v>0</v>
      </c>
      <c r="AJ339" s="44">
        <v>0</v>
      </c>
      <c r="AK339" s="44">
        <v>18019.891199999998</v>
      </c>
      <c r="AL339" s="44">
        <v>0</v>
      </c>
      <c r="AM339" s="44">
        <v>0</v>
      </c>
      <c r="AN339" s="44">
        <v>0</v>
      </c>
      <c r="AO339" s="44">
        <v>0</v>
      </c>
      <c r="AP339" s="44">
        <v>0</v>
      </c>
      <c r="AQ339" s="44">
        <v>0</v>
      </c>
      <c r="AR339" s="44">
        <v>0</v>
      </c>
      <c r="AS339" s="44">
        <v>0</v>
      </c>
      <c r="AT339" s="44">
        <v>4023772.0278000003</v>
      </c>
      <c r="AU339" s="44">
        <v>922432.37007900816</v>
      </c>
      <c r="AV339" s="44">
        <v>156263.43119999999</v>
      </c>
      <c r="AW339" s="44">
        <v>741393.75398975902</v>
      </c>
      <c r="AX339" s="62">
        <v>5102467.8290790077</v>
      </c>
      <c r="AY339" s="62">
        <v>5084447.9378790073</v>
      </c>
      <c r="AZ339" s="62">
        <v>5995</v>
      </c>
      <c r="BA339" s="62">
        <v>4556200</v>
      </c>
      <c r="BB339" s="62">
        <v>0</v>
      </c>
      <c r="BC339" s="62">
        <v>0</v>
      </c>
      <c r="BD339" s="62">
        <v>5102467.8290790077</v>
      </c>
      <c r="BE339" s="44">
        <v>0</v>
      </c>
      <c r="BF339" s="44">
        <v>5102467.8290790077</v>
      </c>
      <c r="BG339" s="62">
        <v>4574219.8912000004</v>
      </c>
      <c r="BH339" s="62">
        <v>4417956.46</v>
      </c>
      <c r="BI339" s="44">
        <v>4946204.3978790073</v>
      </c>
      <c r="BJ339" s="44">
        <v>6508.1636814197464</v>
      </c>
      <c r="BK339" s="44">
        <v>6361.2056116036501</v>
      </c>
      <c r="BL339" s="45">
        <v>2.310223545486817E-2</v>
      </c>
      <c r="BM339" s="45">
        <v>0</v>
      </c>
      <c r="BN339" s="44">
        <v>0</v>
      </c>
      <c r="BO339" s="62">
        <v>5102467.8290790077</v>
      </c>
      <c r="BP339" s="62">
        <v>6690.063076156589</v>
      </c>
      <c r="BQ339" s="62" t="s">
        <v>92</v>
      </c>
      <c r="BR339" s="62">
        <v>6713.7734593144842</v>
      </c>
      <c r="BS339" s="53">
        <v>2.2694118239661387E-2</v>
      </c>
      <c r="BT339" s="44">
        <v>0</v>
      </c>
      <c r="BU339" s="44">
        <v>5102467.8290790077</v>
      </c>
      <c r="BV339" s="44">
        <v>0</v>
      </c>
      <c r="BW339" s="44">
        <v>5102467.8290790077</v>
      </c>
      <c r="BX339" s="44">
        <v>18019.891199999998</v>
      </c>
      <c r="BY339" s="44">
        <v>5084447.9378790073</v>
      </c>
    </row>
    <row r="340" spans="1:77">
      <c r="A340">
        <v>0</v>
      </c>
      <c r="B340" s="60">
        <v>136589</v>
      </c>
      <c r="C340" s="60">
        <v>3304108</v>
      </c>
      <c r="D340" s="61" t="s">
        <v>1045</v>
      </c>
      <c r="E340" s="52">
        <v>936</v>
      </c>
      <c r="F340" s="52">
        <v>0</v>
      </c>
      <c r="G340" s="52">
        <v>936</v>
      </c>
      <c r="H340" s="44">
        <v>0</v>
      </c>
      <c r="I340" s="44">
        <v>2852428.9951999998</v>
      </c>
      <c r="J340" s="44">
        <v>2101921.9369999999</v>
      </c>
      <c r="K340" s="44">
        <v>0</v>
      </c>
      <c r="L340" s="44">
        <v>228649.75350000008</v>
      </c>
      <c r="M340" s="44">
        <v>0</v>
      </c>
      <c r="N340" s="44">
        <v>587655.45599999954</v>
      </c>
      <c r="O340" s="44">
        <v>0</v>
      </c>
      <c r="P340" s="44">
        <v>0</v>
      </c>
      <c r="Q340" s="44">
        <v>0</v>
      </c>
      <c r="R340" s="44">
        <v>0</v>
      </c>
      <c r="S340" s="44">
        <v>0</v>
      </c>
      <c r="T340" s="44">
        <v>0</v>
      </c>
      <c r="U340" s="44">
        <v>18785.707199999997</v>
      </c>
      <c r="V340" s="44">
        <v>3164.4373090909085</v>
      </c>
      <c r="W340" s="44">
        <v>15189.299083636388</v>
      </c>
      <c r="X340" s="44">
        <v>105360.6936436363</v>
      </c>
      <c r="Y340" s="44">
        <v>327835.705221818</v>
      </c>
      <c r="Z340" s="44">
        <v>106325.08797946481</v>
      </c>
      <c r="AA340" s="44">
        <v>0</v>
      </c>
      <c r="AB340" s="44">
        <v>55908.641317596535</v>
      </c>
      <c r="AC340" s="44">
        <v>0</v>
      </c>
      <c r="AD340" s="44">
        <v>464428.60955420003</v>
      </c>
      <c r="AE340" s="44">
        <v>0</v>
      </c>
      <c r="AF340" s="44">
        <v>0</v>
      </c>
      <c r="AG340" s="44">
        <v>138243.54</v>
      </c>
      <c r="AH340" s="44">
        <v>0</v>
      </c>
      <c r="AI340" s="44">
        <v>0</v>
      </c>
      <c r="AJ340" s="44">
        <v>0</v>
      </c>
      <c r="AK340" s="44">
        <v>14309.9136</v>
      </c>
      <c r="AL340" s="44">
        <v>0</v>
      </c>
      <c r="AM340" s="44">
        <v>0</v>
      </c>
      <c r="AN340" s="44">
        <v>0</v>
      </c>
      <c r="AO340" s="44">
        <v>0</v>
      </c>
      <c r="AP340" s="44">
        <v>0</v>
      </c>
      <c r="AQ340" s="44">
        <v>0</v>
      </c>
      <c r="AR340" s="44">
        <v>0</v>
      </c>
      <c r="AS340" s="44">
        <v>0</v>
      </c>
      <c r="AT340" s="44">
        <v>4954350.9321999997</v>
      </c>
      <c r="AU340" s="44">
        <v>1913303.3908094424</v>
      </c>
      <c r="AV340" s="44">
        <v>152553.45360000001</v>
      </c>
      <c r="AW340" s="44">
        <v>1408629.2261330232</v>
      </c>
      <c r="AX340" s="62">
        <v>7020207.7766094422</v>
      </c>
      <c r="AY340" s="62">
        <v>7005897.8630094426</v>
      </c>
      <c r="AZ340" s="62">
        <v>5995</v>
      </c>
      <c r="BA340" s="62">
        <v>5611320</v>
      </c>
      <c r="BB340" s="62">
        <v>0</v>
      </c>
      <c r="BC340" s="62">
        <v>0</v>
      </c>
      <c r="BD340" s="62">
        <v>7020207.7766094422</v>
      </c>
      <c r="BE340" s="44">
        <v>0</v>
      </c>
      <c r="BF340" s="44">
        <v>7020207.7766094413</v>
      </c>
      <c r="BG340" s="62">
        <v>5625629.9135999996</v>
      </c>
      <c r="BH340" s="62">
        <v>5473076.46</v>
      </c>
      <c r="BI340" s="44">
        <v>6867654.3230094425</v>
      </c>
      <c r="BJ340" s="44">
        <v>7337.2375245827379</v>
      </c>
      <c r="BK340" s="44">
        <v>7233.3812244919782</v>
      </c>
      <c r="BL340" s="45">
        <v>1.4357918775123579E-2</v>
      </c>
      <c r="BM340" s="45">
        <v>0</v>
      </c>
      <c r="BN340" s="44">
        <v>0</v>
      </c>
      <c r="BO340" s="62">
        <v>7020207.7766094422</v>
      </c>
      <c r="BP340" s="62">
        <v>7484.9336143263272</v>
      </c>
      <c r="BQ340" s="62" t="s">
        <v>92</v>
      </c>
      <c r="BR340" s="62">
        <v>7500.2219835570968</v>
      </c>
      <c r="BS340" s="53">
        <v>1.3550832046548944E-2</v>
      </c>
      <c r="BT340" s="44">
        <v>0</v>
      </c>
      <c r="BU340" s="44">
        <v>7020207.7766094422</v>
      </c>
      <c r="BV340" s="44">
        <v>0</v>
      </c>
      <c r="BW340" s="44">
        <v>7020207.7766094422</v>
      </c>
      <c r="BX340" s="44">
        <v>14309.9136</v>
      </c>
      <c r="BY340" s="44">
        <v>7005897.8630094426</v>
      </c>
    </row>
    <row r="341" spans="1:77">
      <c r="A341">
        <v>0</v>
      </c>
      <c r="B341" s="60">
        <v>143438</v>
      </c>
      <c r="C341" s="60">
        <v>3304129</v>
      </c>
      <c r="D341" s="61" t="s">
        <v>1046</v>
      </c>
      <c r="E341" s="52">
        <v>716</v>
      </c>
      <c r="F341" s="52">
        <v>0</v>
      </c>
      <c r="G341" s="52">
        <v>716</v>
      </c>
      <c r="H341" s="44">
        <v>0</v>
      </c>
      <c r="I341" s="44">
        <v>2162000.0688</v>
      </c>
      <c r="J341" s="44">
        <v>1630409.7187000001</v>
      </c>
      <c r="K341" s="44">
        <v>0</v>
      </c>
      <c r="L341" s="44">
        <v>127847.17400000012</v>
      </c>
      <c r="M341" s="44">
        <v>0</v>
      </c>
      <c r="N341" s="44">
        <v>420269.98799999966</v>
      </c>
      <c r="O341" s="44">
        <v>0</v>
      </c>
      <c r="P341" s="44">
        <v>0</v>
      </c>
      <c r="Q341" s="44">
        <v>0</v>
      </c>
      <c r="R341" s="44">
        <v>0</v>
      </c>
      <c r="S341" s="44">
        <v>0</v>
      </c>
      <c r="T341" s="44">
        <v>0</v>
      </c>
      <c r="U341" s="44">
        <v>5800.2877999999919</v>
      </c>
      <c r="V341" s="44">
        <v>27546.349500000008</v>
      </c>
      <c r="W341" s="44">
        <v>30978.353699999989</v>
      </c>
      <c r="X341" s="44">
        <v>51931.642499999856</v>
      </c>
      <c r="Y341" s="44">
        <v>132182.33719999986</v>
      </c>
      <c r="Z341" s="44">
        <v>94831.690000000192</v>
      </c>
      <c r="AA341" s="44">
        <v>0</v>
      </c>
      <c r="AB341" s="44">
        <v>47783.635921678368</v>
      </c>
      <c r="AC341" s="44">
        <v>0</v>
      </c>
      <c r="AD341" s="44">
        <v>304643.24855094822</v>
      </c>
      <c r="AE341" s="44">
        <v>0</v>
      </c>
      <c r="AF341" s="44">
        <v>0</v>
      </c>
      <c r="AG341" s="44">
        <v>138243.54</v>
      </c>
      <c r="AH341" s="44">
        <v>0</v>
      </c>
      <c r="AI341" s="44">
        <v>0</v>
      </c>
      <c r="AJ341" s="44">
        <v>0</v>
      </c>
      <c r="AK341" s="44">
        <v>0</v>
      </c>
      <c r="AL341" s="44">
        <v>0</v>
      </c>
      <c r="AM341" s="44">
        <v>0</v>
      </c>
      <c r="AN341" s="44">
        <v>0</v>
      </c>
      <c r="AO341" s="44">
        <v>0</v>
      </c>
      <c r="AP341" s="44">
        <v>0</v>
      </c>
      <c r="AQ341" s="44">
        <v>0</v>
      </c>
      <c r="AR341" s="44">
        <v>0</v>
      </c>
      <c r="AS341" s="44">
        <v>0</v>
      </c>
      <c r="AT341" s="44">
        <v>3792409.7875000001</v>
      </c>
      <c r="AU341" s="44">
        <v>1243814.7071726262</v>
      </c>
      <c r="AV341" s="44">
        <v>138243.54</v>
      </c>
      <c r="AW341" s="44">
        <v>939957.64927594806</v>
      </c>
      <c r="AX341" s="62">
        <v>5174468.0346726263</v>
      </c>
      <c r="AY341" s="62">
        <v>5174468.0346726263</v>
      </c>
      <c r="AZ341" s="62">
        <v>5995</v>
      </c>
      <c r="BA341" s="62">
        <v>4292420</v>
      </c>
      <c r="BB341" s="62">
        <v>0</v>
      </c>
      <c r="BC341" s="62">
        <v>0</v>
      </c>
      <c r="BD341" s="62">
        <v>5174468.0346726263</v>
      </c>
      <c r="BE341" s="44">
        <v>0</v>
      </c>
      <c r="BF341" s="44">
        <v>5174468.0346726263</v>
      </c>
      <c r="BG341" s="62">
        <v>4292420</v>
      </c>
      <c r="BH341" s="62">
        <v>4154176.46</v>
      </c>
      <c r="BI341" s="44">
        <v>5036224.4946726263</v>
      </c>
      <c r="BJ341" s="44">
        <v>7033.8330931181927</v>
      </c>
      <c r="BK341" s="44">
        <v>6935.5726596491231</v>
      </c>
      <c r="BL341" s="45">
        <v>1.4167602055522352E-2</v>
      </c>
      <c r="BM341" s="45">
        <v>0</v>
      </c>
      <c r="BN341" s="44">
        <v>0</v>
      </c>
      <c r="BO341" s="62">
        <v>5174468.0346726263</v>
      </c>
      <c r="BP341" s="62">
        <v>7226.910662950595</v>
      </c>
      <c r="BQ341" s="62" t="s">
        <v>92</v>
      </c>
      <c r="BR341" s="62">
        <v>7226.910662950595</v>
      </c>
      <c r="BS341" s="53">
        <v>1.2046877692909908E-2</v>
      </c>
      <c r="BT341" s="44">
        <v>0</v>
      </c>
      <c r="BU341" s="44">
        <v>5174468.0346726263</v>
      </c>
      <c r="BV341" s="44">
        <v>0</v>
      </c>
      <c r="BW341" s="44">
        <v>5174468.0346726263</v>
      </c>
      <c r="BX341" s="44">
        <v>0</v>
      </c>
      <c r="BY341" s="44">
        <v>5174468.0346726263</v>
      </c>
    </row>
    <row r="342" spans="1:77">
      <c r="A342">
        <v>0</v>
      </c>
      <c r="B342" s="60">
        <v>148684</v>
      </c>
      <c r="C342" s="60">
        <v>3304187</v>
      </c>
      <c r="D342" s="61" t="s">
        <v>1047</v>
      </c>
      <c r="E342" s="52">
        <v>753</v>
      </c>
      <c r="F342" s="52">
        <v>0</v>
      </c>
      <c r="G342" s="52">
        <v>753</v>
      </c>
      <c r="H342" s="44">
        <v>0</v>
      </c>
      <c r="I342" s="44">
        <v>2308149.2576000001</v>
      </c>
      <c r="J342" s="44">
        <v>1675856.6795000001</v>
      </c>
      <c r="K342" s="44">
        <v>0</v>
      </c>
      <c r="L342" s="44">
        <v>164234.44659999994</v>
      </c>
      <c r="M342" s="44">
        <v>0</v>
      </c>
      <c r="N342" s="44">
        <v>444354.22799999977</v>
      </c>
      <c r="O342" s="44">
        <v>0</v>
      </c>
      <c r="P342" s="44">
        <v>0</v>
      </c>
      <c r="Q342" s="44">
        <v>0</v>
      </c>
      <c r="R342" s="44">
        <v>0</v>
      </c>
      <c r="S342" s="44">
        <v>0</v>
      </c>
      <c r="T342" s="44">
        <v>0</v>
      </c>
      <c r="U342" s="44">
        <v>18815.612065246332</v>
      </c>
      <c r="V342" s="44">
        <v>14941.809581225021</v>
      </c>
      <c r="W342" s="44">
        <v>32962.53750039947</v>
      </c>
      <c r="X342" s="44">
        <v>102751.353160586</v>
      </c>
      <c r="Y342" s="44">
        <v>139980.10430572546</v>
      </c>
      <c r="Z342" s="44">
        <v>77018.232598801682</v>
      </c>
      <c r="AA342" s="44">
        <v>0</v>
      </c>
      <c r="AB342" s="44">
        <v>30220.702700000005</v>
      </c>
      <c r="AC342" s="44">
        <v>0</v>
      </c>
      <c r="AD342" s="44">
        <v>309225.93634516886</v>
      </c>
      <c r="AE342" s="44">
        <v>0</v>
      </c>
      <c r="AF342" s="44">
        <v>0</v>
      </c>
      <c r="AG342" s="44">
        <v>138243.54</v>
      </c>
      <c r="AH342" s="44">
        <v>0</v>
      </c>
      <c r="AI342" s="44">
        <v>0</v>
      </c>
      <c r="AJ342" s="44">
        <v>0</v>
      </c>
      <c r="AK342" s="44">
        <v>30873.333299999998</v>
      </c>
      <c r="AL342" s="44">
        <v>0</v>
      </c>
      <c r="AM342" s="44">
        <v>0</v>
      </c>
      <c r="AN342" s="44">
        <v>0</v>
      </c>
      <c r="AO342" s="44">
        <v>0</v>
      </c>
      <c r="AP342" s="44">
        <v>0</v>
      </c>
      <c r="AQ342" s="44">
        <v>0</v>
      </c>
      <c r="AR342" s="44">
        <v>0</v>
      </c>
      <c r="AS342" s="44">
        <v>0</v>
      </c>
      <c r="AT342" s="44">
        <v>3984005.9371000002</v>
      </c>
      <c r="AU342" s="44">
        <v>1334504.9628571526</v>
      </c>
      <c r="AV342" s="44">
        <v>169116.87330000001</v>
      </c>
      <c r="AW342" s="44">
        <v>1005955.3951061607</v>
      </c>
      <c r="AX342" s="62">
        <v>5487627.7732571531</v>
      </c>
      <c r="AY342" s="62">
        <v>5456754.4399571531</v>
      </c>
      <c r="AZ342" s="62">
        <v>5995</v>
      </c>
      <c r="BA342" s="62">
        <v>4514235</v>
      </c>
      <c r="BB342" s="62">
        <v>0</v>
      </c>
      <c r="BC342" s="62">
        <v>0</v>
      </c>
      <c r="BD342" s="62">
        <v>5487627.7732571531</v>
      </c>
      <c r="BE342" s="44">
        <v>0</v>
      </c>
      <c r="BF342" s="44">
        <v>5487627.773257154</v>
      </c>
      <c r="BG342" s="62">
        <v>4545108.3333000001</v>
      </c>
      <c r="BH342" s="62">
        <v>4375991.46</v>
      </c>
      <c r="BI342" s="44">
        <v>5318510.899957153</v>
      </c>
      <c r="BJ342" s="44">
        <v>7063.0954846708537</v>
      </c>
      <c r="BK342" s="44">
        <v>7032.8596245333329</v>
      </c>
      <c r="BL342" s="45">
        <v>4.2992270216863793E-3</v>
      </c>
      <c r="BM342" s="45">
        <v>7.0077297831362077E-4</v>
      </c>
      <c r="BN342" s="44">
        <v>3711.1138028148148</v>
      </c>
      <c r="BO342" s="62">
        <v>5491338.887059968</v>
      </c>
      <c r="BP342" s="62">
        <v>7251.6142812217367</v>
      </c>
      <c r="BQ342" s="62" t="s">
        <v>92</v>
      </c>
      <c r="BR342" s="62">
        <v>7292.6147238512194</v>
      </c>
      <c r="BS342" s="53">
        <v>1.045149683269786E-2</v>
      </c>
      <c r="BT342" s="44">
        <v>0</v>
      </c>
      <c r="BU342" s="44">
        <v>5491338.887059968</v>
      </c>
      <c r="BV342" s="44">
        <v>0</v>
      </c>
      <c r="BW342" s="44">
        <v>5491338.887059968</v>
      </c>
      <c r="BX342" s="44">
        <v>30873.333299999998</v>
      </c>
      <c r="BY342" s="44">
        <v>5460465.5537599679</v>
      </c>
    </row>
    <row r="343" spans="1:77">
      <c r="A343">
        <v>0</v>
      </c>
      <c r="B343" s="60">
        <v>138137</v>
      </c>
      <c r="C343" s="60">
        <v>3304206</v>
      </c>
      <c r="D343" s="61" t="s">
        <v>1048</v>
      </c>
      <c r="E343" s="52">
        <v>746</v>
      </c>
      <c r="F343" s="52">
        <v>0</v>
      </c>
      <c r="G343" s="52">
        <v>746</v>
      </c>
      <c r="H343" s="44">
        <v>0</v>
      </c>
      <c r="I343" s="44">
        <v>2282951.1216000002</v>
      </c>
      <c r="J343" s="44">
        <v>1664494.9393</v>
      </c>
      <c r="K343" s="44">
        <v>0</v>
      </c>
      <c r="L343" s="44">
        <v>163251.00680000006</v>
      </c>
      <c r="M343" s="44">
        <v>0</v>
      </c>
      <c r="N343" s="44">
        <v>420269.98800000001</v>
      </c>
      <c r="O343" s="44">
        <v>0</v>
      </c>
      <c r="P343" s="44">
        <v>0</v>
      </c>
      <c r="Q343" s="44">
        <v>0</v>
      </c>
      <c r="R343" s="44">
        <v>0</v>
      </c>
      <c r="S343" s="44">
        <v>0</v>
      </c>
      <c r="T343" s="44">
        <v>0</v>
      </c>
      <c r="U343" s="44">
        <v>46743.495799999953</v>
      </c>
      <c r="V343" s="44">
        <v>69994.822500000009</v>
      </c>
      <c r="W343" s="44">
        <v>25288.452000000019</v>
      </c>
      <c r="X343" s="44">
        <v>134329.8486</v>
      </c>
      <c r="Y343" s="44">
        <v>70546.75299999975</v>
      </c>
      <c r="Z343" s="44">
        <v>13276.436600000014</v>
      </c>
      <c r="AA343" s="44">
        <v>0</v>
      </c>
      <c r="AB343" s="44">
        <v>14529.308838367378</v>
      </c>
      <c r="AC343" s="44">
        <v>0</v>
      </c>
      <c r="AD343" s="44">
        <v>376392.18007185741</v>
      </c>
      <c r="AE343" s="44">
        <v>0</v>
      </c>
      <c r="AF343" s="44">
        <v>0</v>
      </c>
      <c r="AG343" s="44">
        <v>138243.54</v>
      </c>
      <c r="AH343" s="44">
        <v>0</v>
      </c>
      <c r="AI343" s="44">
        <v>0</v>
      </c>
      <c r="AJ343" s="44">
        <v>0</v>
      </c>
      <c r="AK343" s="44">
        <v>16641.895400000001</v>
      </c>
      <c r="AL343" s="44">
        <v>0</v>
      </c>
      <c r="AM343" s="44">
        <v>0</v>
      </c>
      <c r="AN343" s="44">
        <v>0</v>
      </c>
      <c r="AO343" s="44">
        <v>0</v>
      </c>
      <c r="AP343" s="44">
        <v>0</v>
      </c>
      <c r="AQ343" s="44">
        <v>0</v>
      </c>
      <c r="AR343" s="44">
        <v>0</v>
      </c>
      <c r="AS343" s="44">
        <v>0</v>
      </c>
      <c r="AT343" s="44">
        <v>3947446.0608999999</v>
      </c>
      <c r="AU343" s="44">
        <v>1334622.2922102246</v>
      </c>
      <c r="AV343" s="44">
        <v>154885.43540000002</v>
      </c>
      <c r="AW343" s="44">
        <v>1045614.8847668573</v>
      </c>
      <c r="AX343" s="62">
        <v>5436953.7885102239</v>
      </c>
      <c r="AY343" s="62">
        <v>5420311.893110224</v>
      </c>
      <c r="AZ343" s="62">
        <v>5995</v>
      </c>
      <c r="BA343" s="62">
        <v>4472270</v>
      </c>
      <c r="BB343" s="62">
        <v>0</v>
      </c>
      <c r="BC343" s="62">
        <v>0</v>
      </c>
      <c r="BD343" s="62">
        <v>5436953.7885102239</v>
      </c>
      <c r="BE343" s="44">
        <v>0</v>
      </c>
      <c r="BF343" s="44">
        <v>5436953.7885102239</v>
      </c>
      <c r="BG343" s="62">
        <v>4488911.8953999998</v>
      </c>
      <c r="BH343" s="62">
        <v>4334026.46</v>
      </c>
      <c r="BI343" s="44">
        <v>5282068.353110224</v>
      </c>
      <c r="BJ343" s="44">
        <v>7080.5205805767082</v>
      </c>
      <c r="BK343" s="44">
        <v>6950.9245462050594</v>
      </c>
      <c r="BL343" s="45">
        <v>1.8644431184683667E-2</v>
      </c>
      <c r="BM343" s="45">
        <v>0</v>
      </c>
      <c r="BN343" s="44">
        <v>0</v>
      </c>
      <c r="BO343" s="62">
        <v>5436953.7885102239</v>
      </c>
      <c r="BP343" s="62">
        <v>7265.833636876976</v>
      </c>
      <c r="BQ343" s="62" t="s">
        <v>92</v>
      </c>
      <c r="BR343" s="62">
        <v>7288.141807654456</v>
      </c>
      <c r="BS343" s="53">
        <v>1.5780772263970455E-2</v>
      </c>
      <c r="BT343" s="44">
        <v>0</v>
      </c>
      <c r="BU343" s="44">
        <v>5436953.7885102239</v>
      </c>
      <c r="BV343" s="44">
        <v>0</v>
      </c>
      <c r="BW343" s="44">
        <v>5436953.7885102239</v>
      </c>
      <c r="BX343" s="44">
        <v>16641.895400000001</v>
      </c>
      <c r="BY343" s="44">
        <v>5420311.893110224</v>
      </c>
    </row>
    <row r="344" spans="1:77">
      <c r="A344">
        <v>0</v>
      </c>
      <c r="B344" s="60">
        <v>138937</v>
      </c>
      <c r="C344" s="60">
        <v>3304207</v>
      </c>
      <c r="D344" s="61" t="s">
        <v>1049</v>
      </c>
      <c r="E344" s="52">
        <v>843</v>
      </c>
      <c r="F344" s="52">
        <v>0</v>
      </c>
      <c r="G344" s="52">
        <v>843</v>
      </c>
      <c r="H344" s="44">
        <v>0</v>
      </c>
      <c r="I344" s="44">
        <v>2640764.6527999998</v>
      </c>
      <c r="J344" s="44">
        <v>1812197.5619000001</v>
      </c>
      <c r="K344" s="44">
        <v>0</v>
      </c>
      <c r="L344" s="44">
        <v>171610.24509999994</v>
      </c>
      <c r="M344" s="44">
        <v>0</v>
      </c>
      <c r="N344" s="44">
        <v>480480.5879999997</v>
      </c>
      <c r="O344" s="44">
        <v>0</v>
      </c>
      <c r="P344" s="44">
        <v>0</v>
      </c>
      <c r="Q344" s="44">
        <v>0</v>
      </c>
      <c r="R344" s="44">
        <v>0</v>
      </c>
      <c r="S344" s="44">
        <v>0</v>
      </c>
      <c r="T344" s="44">
        <v>0</v>
      </c>
      <c r="U344" s="44">
        <v>31389.792800000119</v>
      </c>
      <c r="V344" s="44">
        <v>33868.462499999994</v>
      </c>
      <c r="W344" s="44">
        <v>105579.28710000018</v>
      </c>
      <c r="X344" s="44">
        <v>138484.37999999983</v>
      </c>
      <c r="Y344" s="44">
        <v>150747.27219999986</v>
      </c>
      <c r="Z344" s="44">
        <v>39829.309800000003</v>
      </c>
      <c r="AA344" s="44">
        <v>0</v>
      </c>
      <c r="AB344" s="44">
        <v>60947.493722727333</v>
      </c>
      <c r="AC344" s="44">
        <v>0</v>
      </c>
      <c r="AD344" s="44">
        <v>298128.13679674175</v>
      </c>
      <c r="AE344" s="44">
        <v>0</v>
      </c>
      <c r="AF344" s="44">
        <v>0</v>
      </c>
      <c r="AG344" s="44">
        <v>138243.54</v>
      </c>
      <c r="AH344" s="44">
        <v>0</v>
      </c>
      <c r="AI344" s="44">
        <v>0</v>
      </c>
      <c r="AJ344" s="44">
        <v>0</v>
      </c>
      <c r="AK344" s="44">
        <v>18655.885300000002</v>
      </c>
      <c r="AL344" s="44">
        <v>0</v>
      </c>
      <c r="AM344" s="44">
        <v>0</v>
      </c>
      <c r="AN344" s="44">
        <v>0</v>
      </c>
      <c r="AO344" s="44">
        <v>0</v>
      </c>
      <c r="AP344" s="44">
        <v>0</v>
      </c>
      <c r="AQ344" s="44">
        <v>0</v>
      </c>
      <c r="AR344" s="44">
        <v>0</v>
      </c>
      <c r="AS344" s="44">
        <v>0</v>
      </c>
      <c r="AT344" s="44">
        <v>4452962.2147000004</v>
      </c>
      <c r="AU344" s="44">
        <v>1511064.9680194687</v>
      </c>
      <c r="AV344" s="44">
        <v>156899.4253</v>
      </c>
      <c r="AW344" s="44">
        <v>1096770.9162817416</v>
      </c>
      <c r="AX344" s="62">
        <v>6120926.6080194693</v>
      </c>
      <c r="AY344" s="62">
        <v>6102270.7227194691</v>
      </c>
      <c r="AZ344" s="62">
        <v>5995</v>
      </c>
      <c r="BA344" s="62">
        <v>5053785</v>
      </c>
      <c r="BB344" s="62">
        <v>0</v>
      </c>
      <c r="BC344" s="62">
        <v>0</v>
      </c>
      <c r="BD344" s="62">
        <v>6120926.6080194693</v>
      </c>
      <c r="BE344" s="44">
        <v>0</v>
      </c>
      <c r="BF344" s="44">
        <v>6120926.6080194693</v>
      </c>
      <c r="BG344" s="62">
        <v>5072440.8853000002</v>
      </c>
      <c r="BH344" s="62">
        <v>4915541.46</v>
      </c>
      <c r="BI344" s="44">
        <v>5964027.1827194691</v>
      </c>
      <c r="BJ344" s="44">
        <v>7074.7653413042335</v>
      </c>
      <c r="BK344" s="44">
        <v>7120.6597767554485</v>
      </c>
      <c r="BL344" s="45">
        <v>-6.4452504248316972E-3</v>
      </c>
      <c r="BM344" s="45">
        <v>1.1445250424831698E-2</v>
      </c>
      <c r="BN344" s="44">
        <v>68702.590044398501</v>
      </c>
      <c r="BO344" s="62">
        <v>6189629.1980638681</v>
      </c>
      <c r="BP344" s="62">
        <v>7320.2530400520382</v>
      </c>
      <c r="BQ344" s="62" t="s">
        <v>92</v>
      </c>
      <c r="BR344" s="62">
        <v>7342.3833903485984</v>
      </c>
      <c r="BS344" s="53">
        <v>4.7618740877679588E-3</v>
      </c>
      <c r="BT344" s="44">
        <v>0</v>
      </c>
      <c r="BU344" s="44">
        <v>6189629.1980638681</v>
      </c>
      <c r="BV344" s="44">
        <v>0</v>
      </c>
      <c r="BW344" s="44">
        <v>6189629.1980638681</v>
      </c>
      <c r="BX344" s="44">
        <v>18655.885300000002</v>
      </c>
      <c r="BY344" s="44">
        <v>6170973.3127638679</v>
      </c>
    </row>
    <row r="345" spans="1:77">
      <c r="A345">
        <v>0</v>
      </c>
      <c r="B345" s="60">
        <v>136882</v>
      </c>
      <c r="C345" s="60">
        <v>3304220</v>
      </c>
      <c r="D345" s="61" t="s">
        <v>1050</v>
      </c>
      <c r="E345" s="52">
        <v>758</v>
      </c>
      <c r="F345" s="52">
        <v>0</v>
      </c>
      <c r="G345" s="52">
        <v>758</v>
      </c>
      <c r="H345" s="44">
        <v>0</v>
      </c>
      <c r="I345" s="44">
        <v>2277911.4943999997</v>
      </c>
      <c r="J345" s="44">
        <v>1738346.2505999999</v>
      </c>
      <c r="K345" s="44">
        <v>0</v>
      </c>
      <c r="L345" s="44">
        <v>216848.47590000014</v>
      </c>
      <c r="M345" s="44">
        <v>0</v>
      </c>
      <c r="N345" s="44">
        <v>574409.12399999995</v>
      </c>
      <c r="O345" s="44">
        <v>0</v>
      </c>
      <c r="P345" s="44">
        <v>0</v>
      </c>
      <c r="Q345" s="44">
        <v>0</v>
      </c>
      <c r="R345" s="44">
        <v>0</v>
      </c>
      <c r="S345" s="44">
        <v>0</v>
      </c>
      <c r="T345" s="44">
        <v>0</v>
      </c>
      <c r="U345" s="44">
        <v>2729.5471999999913</v>
      </c>
      <c r="V345" s="44">
        <v>4064.215499999983</v>
      </c>
      <c r="W345" s="44">
        <v>9483.1695000000236</v>
      </c>
      <c r="X345" s="44">
        <v>261735.47820000019</v>
      </c>
      <c r="Y345" s="44">
        <v>135152.72680000021</v>
      </c>
      <c r="Z345" s="44">
        <v>150782.38709999976</v>
      </c>
      <c r="AA345" s="44">
        <v>0</v>
      </c>
      <c r="AB345" s="44">
        <v>52767.042952519922</v>
      </c>
      <c r="AC345" s="44">
        <v>0</v>
      </c>
      <c r="AD345" s="44">
        <v>291700.88206252217</v>
      </c>
      <c r="AE345" s="44">
        <v>0</v>
      </c>
      <c r="AF345" s="44">
        <v>0</v>
      </c>
      <c r="AG345" s="44">
        <v>138243.54</v>
      </c>
      <c r="AH345" s="44">
        <v>0</v>
      </c>
      <c r="AI345" s="44">
        <v>0</v>
      </c>
      <c r="AJ345" s="44">
        <v>0</v>
      </c>
      <c r="AK345" s="44">
        <v>32064.806400000001</v>
      </c>
      <c r="AL345" s="44">
        <v>0</v>
      </c>
      <c r="AM345" s="44">
        <v>0</v>
      </c>
      <c r="AN345" s="44">
        <v>0</v>
      </c>
      <c r="AO345" s="44">
        <v>0</v>
      </c>
      <c r="AP345" s="44">
        <v>0</v>
      </c>
      <c r="AQ345" s="44">
        <v>0</v>
      </c>
      <c r="AR345" s="44">
        <v>0</v>
      </c>
      <c r="AS345" s="44">
        <v>0</v>
      </c>
      <c r="AT345" s="44">
        <v>4016257.7449999996</v>
      </c>
      <c r="AU345" s="44">
        <v>1699673.0492150423</v>
      </c>
      <c r="AV345" s="44">
        <v>170308.34640000001</v>
      </c>
      <c r="AW345" s="44">
        <v>1170116.3314125224</v>
      </c>
      <c r="AX345" s="62">
        <v>5886239.1406150423</v>
      </c>
      <c r="AY345" s="62">
        <v>5854174.3342150422</v>
      </c>
      <c r="AZ345" s="62">
        <v>5995</v>
      </c>
      <c r="BA345" s="62">
        <v>4544210</v>
      </c>
      <c r="BB345" s="62">
        <v>0</v>
      </c>
      <c r="BC345" s="62">
        <v>0</v>
      </c>
      <c r="BD345" s="62">
        <v>5886239.1406150423</v>
      </c>
      <c r="BE345" s="44">
        <v>0</v>
      </c>
      <c r="BF345" s="44">
        <v>5886239.1406150414</v>
      </c>
      <c r="BG345" s="62">
        <v>4576274.8064000001</v>
      </c>
      <c r="BH345" s="62">
        <v>4405966.46</v>
      </c>
      <c r="BI345" s="44">
        <v>5715930.7942150421</v>
      </c>
      <c r="BJ345" s="44">
        <v>7540.8057971174694</v>
      </c>
      <c r="BK345" s="44">
        <v>7557.1859265333342</v>
      </c>
      <c r="BL345" s="45">
        <v>-2.167490594396256E-3</v>
      </c>
      <c r="BM345" s="45">
        <v>7.1674905943962565E-3</v>
      </c>
      <c r="BN345" s="44">
        <v>41057.872758786827</v>
      </c>
      <c r="BO345" s="62">
        <v>5927297.0133738294</v>
      </c>
      <c r="BP345" s="62">
        <v>7777.3511965353946</v>
      </c>
      <c r="BQ345" s="62" t="s">
        <v>92</v>
      </c>
      <c r="BR345" s="62">
        <v>7819.6530519443659</v>
      </c>
      <c r="BS345" s="53">
        <v>6.9527107148441569E-3</v>
      </c>
      <c r="BT345" s="44">
        <v>0</v>
      </c>
      <c r="BU345" s="44">
        <v>5927297.0133738294</v>
      </c>
      <c r="BV345" s="44">
        <v>0</v>
      </c>
      <c r="BW345" s="44">
        <v>5927297.0133738294</v>
      </c>
      <c r="BX345" s="44">
        <v>32064.806400000001</v>
      </c>
      <c r="BY345" s="44">
        <v>5895232.2069738293</v>
      </c>
    </row>
    <row r="346" spans="1:77">
      <c r="A346">
        <v>0</v>
      </c>
      <c r="B346" s="60">
        <v>139841</v>
      </c>
      <c r="C346" s="60">
        <v>3304227</v>
      </c>
      <c r="D346" s="61" t="s">
        <v>1051</v>
      </c>
      <c r="E346" s="52">
        <v>1055</v>
      </c>
      <c r="F346" s="52">
        <v>0</v>
      </c>
      <c r="G346" s="52">
        <v>1055</v>
      </c>
      <c r="H346" s="44">
        <v>0</v>
      </c>
      <c r="I346" s="44">
        <v>3174965.1359999999</v>
      </c>
      <c r="J346" s="44">
        <v>2414369.7925</v>
      </c>
      <c r="K346" s="44">
        <v>0</v>
      </c>
      <c r="L346" s="44">
        <v>252744.02859999982</v>
      </c>
      <c r="M346" s="44">
        <v>0</v>
      </c>
      <c r="N346" s="44">
        <v>694830.32400000014</v>
      </c>
      <c r="O346" s="44">
        <v>0</v>
      </c>
      <c r="P346" s="44">
        <v>0</v>
      </c>
      <c r="Q346" s="44">
        <v>0</v>
      </c>
      <c r="R346" s="44">
        <v>0</v>
      </c>
      <c r="S346" s="44">
        <v>0</v>
      </c>
      <c r="T346" s="44">
        <v>0</v>
      </c>
      <c r="U346" s="44">
        <v>60732.425199999845</v>
      </c>
      <c r="V346" s="44">
        <v>33868.462499999987</v>
      </c>
      <c r="W346" s="44">
        <v>142247.54250000016</v>
      </c>
      <c r="X346" s="44">
        <v>204264.46050000022</v>
      </c>
      <c r="Y346" s="44">
        <v>181193.76560000036</v>
      </c>
      <c r="Z346" s="44">
        <v>17069.704200000018</v>
      </c>
      <c r="AA346" s="44">
        <v>0</v>
      </c>
      <c r="AB346" s="44">
        <v>89071.544799999916</v>
      </c>
      <c r="AC346" s="44">
        <v>0</v>
      </c>
      <c r="AD346" s="44">
        <v>476204.14673731849</v>
      </c>
      <c r="AE346" s="44">
        <v>0</v>
      </c>
      <c r="AF346" s="44">
        <v>0</v>
      </c>
      <c r="AG346" s="44">
        <v>138243.54</v>
      </c>
      <c r="AH346" s="44">
        <v>0</v>
      </c>
      <c r="AI346" s="44">
        <v>0</v>
      </c>
      <c r="AJ346" s="44">
        <v>0</v>
      </c>
      <c r="AK346" s="44">
        <v>25015.8469</v>
      </c>
      <c r="AL346" s="44">
        <v>0</v>
      </c>
      <c r="AM346" s="44">
        <v>0</v>
      </c>
      <c r="AN346" s="44">
        <v>0</v>
      </c>
      <c r="AO346" s="44">
        <v>0</v>
      </c>
      <c r="AP346" s="44">
        <v>0</v>
      </c>
      <c r="AQ346" s="44">
        <v>0</v>
      </c>
      <c r="AR346" s="44">
        <v>0</v>
      </c>
      <c r="AS346" s="44">
        <v>0</v>
      </c>
      <c r="AT346" s="44">
        <v>5589334.9285000004</v>
      </c>
      <c r="AU346" s="44">
        <v>2152226.404637319</v>
      </c>
      <c r="AV346" s="44">
        <v>163259.38690000001</v>
      </c>
      <c r="AW346" s="44">
        <v>1549146.2497123189</v>
      </c>
      <c r="AX346" s="62">
        <v>7904820.7200373197</v>
      </c>
      <c r="AY346" s="62">
        <v>7879804.8731373195</v>
      </c>
      <c r="AZ346" s="62">
        <v>5995</v>
      </c>
      <c r="BA346" s="62">
        <v>6324725</v>
      </c>
      <c r="BB346" s="62">
        <v>0</v>
      </c>
      <c r="BC346" s="62">
        <v>0</v>
      </c>
      <c r="BD346" s="62">
        <v>7904820.7200373197</v>
      </c>
      <c r="BE346" s="44">
        <v>0</v>
      </c>
      <c r="BF346" s="44">
        <v>7904820.7200373197</v>
      </c>
      <c r="BG346" s="62">
        <v>6349740.8469000002</v>
      </c>
      <c r="BH346" s="62">
        <v>6186481.46</v>
      </c>
      <c r="BI346" s="44">
        <v>7741561.3331373194</v>
      </c>
      <c r="BJ346" s="44">
        <v>7337.9728276183123</v>
      </c>
      <c r="BK346" s="44">
        <v>7205.728420019158</v>
      </c>
      <c r="BL346" s="45">
        <v>1.8352677188297743E-2</v>
      </c>
      <c r="BM346" s="45">
        <v>0</v>
      </c>
      <c r="BN346" s="44">
        <v>0</v>
      </c>
      <c r="BO346" s="62">
        <v>7904820.7200373197</v>
      </c>
      <c r="BP346" s="62">
        <v>7469.0093584239994</v>
      </c>
      <c r="BQ346" s="62" t="s">
        <v>92</v>
      </c>
      <c r="BR346" s="62">
        <v>7492.7210616467482</v>
      </c>
      <c r="BS346" s="53">
        <v>1.6932303068943888E-2</v>
      </c>
      <c r="BT346" s="44">
        <v>0</v>
      </c>
      <c r="BU346" s="44">
        <v>7904820.7200373197</v>
      </c>
      <c r="BV346" s="44">
        <v>0</v>
      </c>
      <c r="BW346" s="44">
        <v>7904820.7200373197</v>
      </c>
      <c r="BX346" s="44">
        <v>25015.8469</v>
      </c>
      <c r="BY346" s="44">
        <v>7879804.8731373195</v>
      </c>
    </row>
    <row r="347" spans="1:77">
      <c r="A347">
        <v>0</v>
      </c>
      <c r="B347" s="60">
        <v>139746</v>
      </c>
      <c r="C347" s="60">
        <v>3304240</v>
      </c>
      <c r="D347" s="61" t="s">
        <v>1052</v>
      </c>
      <c r="E347" s="52">
        <v>991</v>
      </c>
      <c r="F347" s="52">
        <v>0</v>
      </c>
      <c r="G347" s="52">
        <v>991</v>
      </c>
      <c r="H347" s="44">
        <v>0</v>
      </c>
      <c r="I347" s="44">
        <v>3074172.5919999997</v>
      </c>
      <c r="J347" s="44">
        <v>2164411.5081000002</v>
      </c>
      <c r="K347" s="44">
        <v>0</v>
      </c>
      <c r="L347" s="44">
        <v>174560.56450000012</v>
      </c>
      <c r="M347" s="44">
        <v>0</v>
      </c>
      <c r="N347" s="44">
        <v>511790.10000000033</v>
      </c>
      <c r="O347" s="44">
        <v>0</v>
      </c>
      <c r="P347" s="44">
        <v>0</v>
      </c>
      <c r="Q347" s="44">
        <v>0</v>
      </c>
      <c r="R347" s="44">
        <v>0</v>
      </c>
      <c r="S347" s="44">
        <v>0</v>
      </c>
      <c r="T347" s="44">
        <v>0</v>
      </c>
      <c r="U347" s="44">
        <v>60050.03839999999</v>
      </c>
      <c r="V347" s="44">
        <v>77671.674000000159</v>
      </c>
      <c r="W347" s="44">
        <v>70175.454300000027</v>
      </c>
      <c r="X347" s="44">
        <v>68549.768099999972</v>
      </c>
      <c r="Y347" s="44">
        <v>78715.324399999969</v>
      </c>
      <c r="Z347" s="44">
        <v>11379.802799999978</v>
      </c>
      <c r="AA347" s="44">
        <v>0</v>
      </c>
      <c r="AB347" s="44">
        <v>61877.513172933817</v>
      </c>
      <c r="AC347" s="44">
        <v>0</v>
      </c>
      <c r="AD347" s="44">
        <v>488922.98800837883</v>
      </c>
      <c r="AE347" s="44">
        <v>0</v>
      </c>
      <c r="AF347" s="44">
        <v>0</v>
      </c>
      <c r="AG347" s="44">
        <v>138243.54</v>
      </c>
      <c r="AH347" s="44">
        <v>0</v>
      </c>
      <c r="AI347" s="44">
        <v>0</v>
      </c>
      <c r="AJ347" s="44">
        <v>0</v>
      </c>
      <c r="AK347" s="44">
        <v>28089.830399999999</v>
      </c>
      <c r="AL347" s="44">
        <v>0</v>
      </c>
      <c r="AM347" s="44">
        <v>0</v>
      </c>
      <c r="AN347" s="44">
        <v>0</v>
      </c>
      <c r="AO347" s="44">
        <v>0</v>
      </c>
      <c r="AP347" s="44">
        <v>0</v>
      </c>
      <c r="AQ347" s="44">
        <v>0</v>
      </c>
      <c r="AR347" s="44">
        <v>0</v>
      </c>
      <c r="AS347" s="44">
        <v>0</v>
      </c>
      <c r="AT347" s="44">
        <v>5238584.1000999995</v>
      </c>
      <c r="AU347" s="44">
        <v>1603693.2276813129</v>
      </c>
      <c r="AV347" s="44">
        <v>166333.37040000001</v>
      </c>
      <c r="AW347" s="44">
        <v>1277298.5562633791</v>
      </c>
      <c r="AX347" s="62">
        <v>7008610.6981813125</v>
      </c>
      <c r="AY347" s="62">
        <v>6980520.8677813122</v>
      </c>
      <c r="AZ347" s="62">
        <v>5995</v>
      </c>
      <c r="BA347" s="62">
        <v>5941045</v>
      </c>
      <c r="BB347" s="62">
        <v>0</v>
      </c>
      <c r="BC347" s="62">
        <v>0</v>
      </c>
      <c r="BD347" s="62">
        <v>7008610.6981813125</v>
      </c>
      <c r="BE347" s="44">
        <v>0</v>
      </c>
      <c r="BF347" s="44">
        <v>7008610.6981813144</v>
      </c>
      <c r="BG347" s="62">
        <v>5969134.8304000003</v>
      </c>
      <c r="BH347" s="62">
        <v>5802801.46</v>
      </c>
      <c r="BI347" s="44">
        <v>6842277.3277813122</v>
      </c>
      <c r="BJ347" s="44">
        <v>6904.4170815149464</v>
      </c>
      <c r="BK347" s="44">
        <v>6793.6197253593427</v>
      </c>
      <c r="BL347" s="45">
        <v>1.6309031213804528E-2</v>
      </c>
      <c r="BM347" s="45">
        <v>0</v>
      </c>
      <c r="BN347" s="44">
        <v>0</v>
      </c>
      <c r="BO347" s="62">
        <v>7008610.6981813125</v>
      </c>
      <c r="BP347" s="62">
        <v>7043.9161127964808</v>
      </c>
      <c r="BQ347" s="62" t="s">
        <v>92</v>
      </c>
      <c r="BR347" s="62">
        <v>7072.2610476098007</v>
      </c>
      <c r="BS347" s="53">
        <v>1.6058059562030325E-2</v>
      </c>
      <c r="BT347" s="44">
        <v>0</v>
      </c>
      <c r="BU347" s="44">
        <v>7008610.6981813125</v>
      </c>
      <c r="BV347" s="44">
        <v>0</v>
      </c>
      <c r="BW347" s="44">
        <v>7008610.6981813125</v>
      </c>
      <c r="BX347" s="44">
        <v>28089.830399999999</v>
      </c>
      <c r="BY347" s="44">
        <v>6980520.8677813122</v>
      </c>
    </row>
    <row r="348" spans="1:77">
      <c r="A348">
        <v>0</v>
      </c>
      <c r="B348" s="60">
        <v>137034</v>
      </c>
      <c r="C348" s="60">
        <v>3304241</v>
      </c>
      <c r="D348" s="61" t="s">
        <v>1053</v>
      </c>
      <c r="E348" s="52">
        <v>1050</v>
      </c>
      <c r="F348" s="52">
        <v>0</v>
      </c>
      <c r="G348" s="52">
        <v>1050</v>
      </c>
      <c r="H348" s="44">
        <v>0</v>
      </c>
      <c r="I348" s="44">
        <v>3149767</v>
      </c>
      <c r="J348" s="44">
        <v>2414369.7925</v>
      </c>
      <c r="K348" s="44">
        <v>0</v>
      </c>
      <c r="L348" s="44">
        <v>270445.94500000007</v>
      </c>
      <c r="M348" s="44">
        <v>0</v>
      </c>
      <c r="N348" s="44">
        <v>716506.14000000036</v>
      </c>
      <c r="O348" s="44">
        <v>0</v>
      </c>
      <c r="P348" s="44">
        <v>0</v>
      </c>
      <c r="Q348" s="44">
        <v>0</v>
      </c>
      <c r="R348" s="44">
        <v>0</v>
      </c>
      <c r="S348" s="44">
        <v>0</v>
      </c>
      <c r="T348" s="44">
        <v>0</v>
      </c>
      <c r="U348" s="44">
        <v>14330.122799999999</v>
      </c>
      <c r="V348" s="44">
        <v>12644.226000000015</v>
      </c>
      <c r="W348" s="44">
        <v>287023.93019999977</v>
      </c>
      <c r="X348" s="44">
        <v>190416.02250000005</v>
      </c>
      <c r="Y348" s="44">
        <v>141093.50600000005</v>
      </c>
      <c r="Z348" s="44">
        <v>42674.26050000004</v>
      </c>
      <c r="AA348" s="44">
        <v>0</v>
      </c>
      <c r="AB348" s="44">
        <v>104080.48439597315</v>
      </c>
      <c r="AC348" s="44">
        <v>0</v>
      </c>
      <c r="AD348" s="44">
        <v>599885.50653625815</v>
      </c>
      <c r="AE348" s="44">
        <v>0</v>
      </c>
      <c r="AF348" s="44">
        <v>0</v>
      </c>
      <c r="AG348" s="44">
        <v>138243.54</v>
      </c>
      <c r="AH348" s="44">
        <v>0</v>
      </c>
      <c r="AI348" s="44">
        <v>0</v>
      </c>
      <c r="AJ348" s="44">
        <v>0</v>
      </c>
      <c r="AK348" s="44">
        <v>29944.819200000002</v>
      </c>
      <c r="AL348" s="44">
        <v>0</v>
      </c>
      <c r="AM348" s="44">
        <v>0</v>
      </c>
      <c r="AN348" s="44">
        <v>0</v>
      </c>
      <c r="AO348" s="44">
        <v>0</v>
      </c>
      <c r="AP348" s="44">
        <v>0</v>
      </c>
      <c r="AQ348" s="44">
        <v>0</v>
      </c>
      <c r="AR348" s="44">
        <v>0</v>
      </c>
      <c r="AS348" s="44">
        <v>0</v>
      </c>
      <c r="AT348" s="44">
        <v>5564136.7925000004</v>
      </c>
      <c r="AU348" s="44">
        <v>2379100.1439322317</v>
      </c>
      <c r="AV348" s="44">
        <v>168188.35920000001</v>
      </c>
      <c r="AW348" s="44">
        <v>1715659.4226612581</v>
      </c>
      <c r="AX348" s="62">
        <v>8111425.295632232</v>
      </c>
      <c r="AY348" s="62">
        <v>8081480.4764322322</v>
      </c>
      <c r="AZ348" s="62">
        <v>5995</v>
      </c>
      <c r="BA348" s="62">
        <v>6294750</v>
      </c>
      <c r="BB348" s="62">
        <v>0</v>
      </c>
      <c r="BC348" s="62">
        <v>0</v>
      </c>
      <c r="BD348" s="62">
        <v>8111425.295632232</v>
      </c>
      <c r="BE348" s="44">
        <v>0</v>
      </c>
      <c r="BF348" s="44">
        <v>8111425.295632232</v>
      </c>
      <c r="BG348" s="62">
        <v>6324694.8191999998</v>
      </c>
      <c r="BH348" s="62">
        <v>6156506.46</v>
      </c>
      <c r="BI348" s="44">
        <v>7943236.9364322321</v>
      </c>
      <c r="BJ348" s="44">
        <v>7564.9875585068876</v>
      </c>
      <c r="BK348" s="44">
        <v>7391.0168418560606</v>
      </c>
      <c r="BL348" s="45">
        <v>2.3538130188746634E-2</v>
      </c>
      <c r="BM348" s="45">
        <v>0</v>
      </c>
      <c r="BN348" s="44">
        <v>0</v>
      </c>
      <c r="BO348" s="62">
        <v>8111425.295632232</v>
      </c>
      <c r="BP348" s="62">
        <v>7696.6480727926019</v>
      </c>
      <c r="BQ348" s="62" t="s">
        <v>92</v>
      </c>
      <c r="BR348" s="62">
        <v>7725.1669482211737</v>
      </c>
      <c r="BS348" s="53">
        <v>2.3505295913686997E-2</v>
      </c>
      <c r="BT348" s="44">
        <v>0</v>
      </c>
      <c r="BU348" s="44">
        <v>8111425.295632232</v>
      </c>
      <c r="BV348" s="44">
        <v>0</v>
      </c>
      <c r="BW348" s="44">
        <v>8111425.295632232</v>
      </c>
      <c r="BX348" s="44">
        <v>29944.819200000002</v>
      </c>
      <c r="BY348" s="44">
        <v>8081480.4764322322</v>
      </c>
    </row>
    <row r="349" spans="1:77">
      <c r="A349">
        <v>0</v>
      </c>
      <c r="B349" s="60">
        <v>139994</v>
      </c>
      <c r="C349" s="60">
        <v>3304246</v>
      </c>
      <c r="D349" s="61" t="s">
        <v>1054</v>
      </c>
      <c r="E349" s="52">
        <v>922</v>
      </c>
      <c r="F349" s="52">
        <v>0</v>
      </c>
      <c r="G349" s="52">
        <v>922</v>
      </c>
      <c r="H349" s="44">
        <v>0</v>
      </c>
      <c r="I349" s="44">
        <v>2817151.6047999999</v>
      </c>
      <c r="J349" s="44">
        <v>2062155.8463000001</v>
      </c>
      <c r="K349" s="44">
        <v>0</v>
      </c>
      <c r="L349" s="44">
        <v>156858.6480999999</v>
      </c>
      <c r="M349" s="44">
        <v>0</v>
      </c>
      <c r="N349" s="44">
        <v>511790.10000000027</v>
      </c>
      <c r="O349" s="44">
        <v>0</v>
      </c>
      <c r="P349" s="44">
        <v>0</v>
      </c>
      <c r="Q349" s="44">
        <v>0</v>
      </c>
      <c r="R349" s="44">
        <v>0</v>
      </c>
      <c r="S349" s="44">
        <v>0</v>
      </c>
      <c r="T349" s="44">
        <v>0</v>
      </c>
      <c r="U349" s="44">
        <v>12965.349200000017</v>
      </c>
      <c r="V349" s="44">
        <v>196437.08249999984</v>
      </c>
      <c r="W349" s="44">
        <v>129603.3164999999</v>
      </c>
      <c r="X349" s="44">
        <v>127405.62959999977</v>
      </c>
      <c r="Y349" s="44">
        <v>20792.727199999979</v>
      </c>
      <c r="Z349" s="44">
        <v>4741.5845000000008</v>
      </c>
      <c r="AA349" s="44">
        <v>0</v>
      </c>
      <c r="AB349" s="44">
        <v>47820.631389130416</v>
      </c>
      <c r="AC349" s="44">
        <v>0</v>
      </c>
      <c r="AD349" s="44">
        <v>365597.02877241408</v>
      </c>
      <c r="AE349" s="44">
        <v>0</v>
      </c>
      <c r="AF349" s="44">
        <v>0</v>
      </c>
      <c r="AG349" s="44">
        <v>138243.54</v>
      </c>
      <c r="AH349" s="44">
        <v>0</v>
      </c>
      <c r="AI349" s="44">
        <v>0</v>
      </c>
      <c r="AJ349" s="44">
        <v>0</v>
      </c>
      <c r="AK349" s="44">
        <v>25863.8459</v>
      </c>
      <c r="AL349" s="44">
        <v>1124024.25</v>
      </c>
      <c r="AM349" s="44">
        <v>0</v>
      </c>
      <c r="AN349" s="44">
        <v>0</v>
      </c>
      <c r="AO349" s="44">
        <v>0</v>
      </c>
      <c r="AP349" s="44">
        <v>0</v>
      </c>
      <c r="AQ349" s="44">
        <v>0</v>
      </c>
      <c r="AR349" s="44">
        <v>0</v>
      </c>
      <c r="AS349" s="44">
        <v>0</v>
      </c>
      <c r="AT349" s="44">
        <v>4879307.4511000002</v>
      </c>
      <c r="AU349" s="44">
        <v>1574012.0977615444</v>
      </c>
      <c r="AV349" s="44">
        <v>1288131.6359000001</v>
      </c>
      <c r="AW349" s="44">
        <v>1189859.6201274141</v>
      </c>
      <c r="AX349" s="62">
        <v>7741451.1847615447</v>
      </c>
      <c r="AY349" s="62">
        <v>6591563.0888615446</v>
      </c>
      <c r="AZ349" s="62">
        <v>5995</v>
      </c>
      <c r="BA349" s="62">
        <v>5527390</v>
      </c>
      <c r="BB349" s="62">
        <v>0</v>
      </c>
      <c r="BC349" s="62">
        <v>0</v>
      </c>
      <c r="BD349" s="62">
        <v>7741451.1847615447</v>
      </c>
      <c r="BE349" s="44">
        <v>0</v>
      </c>
      <c r="BF349" s="44">
        <v>7741451.1847615438</v>
      </c>
      <c r="BG349" s="62">
        <v>6677278.0959000001</v>
      </c>
      <c r="BH349" s="62">
        <v>6513170.71</v>
      </c>
      <c r="BI349" s="44">
        <v>7577343.7988615446</v>
      </c>
      <c r="BJ349" s="44">
        <v>8218.3772221925647</v>
      </c>
      <c r="BK349" s="44">
        <v>8017.2436140740747</v>
      </c>
      <c r="BL349" s="45">
        <v>2.5087625847542521E-2</v>
      </c>
      <c r="BM349" s="45">
        <v>0</v>
      </c>
      <c r="BN349" s="44">
        <v>0</v>
      </c>
      <c r="BO349" s="62">
        <v>7741451.1847615447</v>
      </c>
      <c r="BP349" s="62">
        <v>7149.2007471383349</v>
      </c>
      <c r="BQ349" s="62" t="s">
        <v>92</v>
      </c>
      <c r="BR349" s="62">
        <v>8396.3678793509152</v>
      </c>
      <c r="BS349" s="53">
        <v>2.4659844217197691E-2</v>
      </c>
      <c r="BT349" s="44">
        <v>0</v>
      </c>
      <c r="BU349" s="44">
        <v>7741451.1847615447</v>
      </c>
      <c r="BV349" s="44">
        <v>0</v>
      </c>
      <c r="BW349" s="44">
        <v>7741451.1847615447</v>
      </c>
      <c r="BX349" s="44">
        <v>25863.8459</v>
      </c>
      <c r="BY349" s="44">
        <v>7715587.3388615446</v>
      </c>
    </row>
    <row r="350" spans="1:77">
      <c r="A350">
        <v>0</v>
      </c>
      <c r="B350" s="60">
        <v>136778</v>
      </c>
      <c r="C350" s="60">
        <v>3304300</v>
      </c>
      <c r="D350" s="61" t="s">
        <v>1055</v>
      </c>
      <c r="E350" s="52">
        <v>899</v>
      </c>
      <c r="F350" s="52">
        <v>0</v>
      </c>
      <c r="G350" s="52">
        <v>899</v>
      </c>
      <c r="H350" s="44">
        <v>0</v>
      </c>
      <c r="I350" s="44">
        <v>2721398.6880000001</v>
      </c>
      <c r="J350" s="44">
        <v>2039432.3659000001</v>
      </c>
      <c r="K350" s="44">
        <v>0</v>
      </c>
      <c r="L350" s="44">
        <v>46221.670599999881</v>
      </c>
      <c r="M350" s="44">
        <v>0</v>
      </c>
      <c r="N350" s="44">
        <v>116808.56399999978</v>
      </c>
      <c r="O350" s="44">
        <v>0</v>
      </c>
      <c r="P350" s="44">
        <v>0</v>
      </c>
      <c r="Q350" s="44">
        <v>0</v>
      </c>
      <c r="R350" s="44">
        <v>0</v>
      </c>
      <c r="S350" s="44">
        <v>0</v>
      </c>
      <c r="T350" s="44">
        <v>0</v>
      </c>
      <c r="U350" s="44">
        <v>21860.694278841875</v>
      </c>
      <c r="V350" s="44">
        <v>19439.542017260563</v>
      </c>
      <c r="W350" s="44">
        <v>11392.475786859688</v>
      </c>
      <c r="X350" s="44">
        <v>22182.175077060139</v>
      </c>
      <c r="Y350" s="44">
        <v>31967.24687282848</v>
      </c>
      <c r="Z350" s="44">
        <v>18038.085711469896</v>
      </c>
      <c r="AA350" s="44">
        <v>0</v>
      </c>
      <c r="AB350" s="44">
        <v>25449.012800000022</v>
      </c>
      <c r="AC350" s="44">
        <v>0</v>
      </c>
      <c r="AD350" s="44">
        <v>2116.8544133213413</v>
      </c>
      <c r="AE350" s="44">
        <v>0</v>
      </c>
      <c r="AF350" s="44">
        <v>0</v>
      </c>
      <c r="AG350" s="44">
        <v>138243.54</v>
      </c>
      <c r="AH350" s="44">
        <v>0</v>
      </c>
      <c r="AI350" s="44">
        <v>0</v>
      </c>
      <c r="AJ350" s="44">
        <v>0</v>
      </c>
      <c r="AK350" s="44">
        <v>55527.619299999998</v>
      </c>
      <c r="AL350" s="44">
        <v>0</v>
      </c>
      <c r="AM350" s="44">
        <v>0</v>
      </c>
      <c r="AN350" s="44">
        <v>0</v>
      </c>
      <c r="AO350" s="44">
        <v>0</v>
      </c>
      <c r="AP350" s="44">
        <v>0</v>
      </c>
      <c r="AQ350" s="44">
        <v>0</v>
      </c>
      <c r="AR350" s="44">
        <v>0</v>
      </c>
      <c r="AS350" s="44">
        <v>0</v>
      </c>
      <c r="AT350" s="44">
        <v>4760831.0538999997</v>
      </c>
      <c r="AU350" s="44">
        <v>315476.32155764167</v>
      </c>
      <c r="AV350" s="44">
        <v>193771.1593</v>
      </c>
      <c r="AW350" s="44">
        <v>384113.63428048149</v>
      </c>
      <c r="AX350" s="62">
        <v>5270078.5347576421</v>
      </c>
      <c r="AY350" s="62">
        <v>5214550.9154576417</v>
      </c>
      <c r="AZ350" s="62">
        <v>5995</v>
      </c>
      <c r="BA350" s="62">
        <v>5389505</v>
      </c>
      <c r="BB350" s="62">
        <v>0</v>
      </c>
      <c r="BC350" s="62">
        <v>174954.08454235829</v>
      </c>
      <c r="BD350" s="62">
        <v>5445032.6193000004</v>
      </c>
      <c r="BE350" s="44">
        <v>0</v>
      </c>
      <c r="BF350" s="44">
        <v>5445032.6193000004</v>
      </c>
      <c r="BG350" s="62">
        <v>5445032.6193000004</v>
      </c>
      <c r="BH350" s="62">
        <v>5251261.46</v>
      </c>
      <c r="BI350" s="44">
        <v>5251261.46</v>
      </c>
      <c r="BJ350" s="44">
        <v>5841.2252057842043</v>
      </c>
      <c r="BK350" s="44">
        <v>5759.4584305462649</v>
      </c>
      <c r="BL350" s="45">
        <v>1.4196955533922315E-2</v>
      </c>
      <c r="BM350" s="45">
        <v>0</v>
      </c>
      <c r="BN350" s="44">
        <v>0</v>
      </c>
      <c r="BO350" s="62">
        <v>5445032.6193000004</v>
      </c>
      <c r="BP350" s="62">
        <v>5995</v>
      </c>
      <c r="BQ350" s="62" t="s">
        <v>92</v>
      </c>
      <c r="BR350" s="62">
        <v>6056.7659836484991</v>
      </c>
      <c r="BS350" s="53">
        <v>1.9388140258003173E-2</v>
      </c>
      <c r="BT350" s="44">
        <v>0</v>
      </c>
      <c r="BU350" s="44">
        <v>5445032.6193000004</v>
      </c>
      <c r="BV350" s="44">
        <v>0</v>
      </c>
      <c r="BW350" s="44">
        <v>5445032.6193000004</v>
      </c>
      <c r="BX350" s="44">
        <v>55527.619299999998</v>
      </c>
      <c r="BY350" s="44">
        <v>5389505</v>
      </c>
    </row>
    <row r="351" spans="1:77">
      <c r="A351">
        <v>0</v>
      </c>
      <c r="B351" s="60">
        <v>138136</v>
      </c>
      <c r="C351" s="60">
        <v>3304307</v>
      </c>
      <c r="D351" s="61" t="s">
        <v>1056</v>
      </c>
      <c r="E351" s="52">
        <v>1388</v>
      </c>
      <c r="F351" s="52">
        <v>0</v>
      </c>
      <c r="G351" s="52">
        <v>1388</v>
      </c>
      <c r="H351" s="44">
        <v>0</v>
      </c>
      <c r="I351" s="44">
        <v>4253445.3568000002</v>
      </c>
      <c r="J351" s="44">
        <v>3090393.3344000001</v>
      </c>
      <c r="K351" s="44">
        <v>0</v>
      </c>
      <c r="L351" s="44">
        <v>72774.545200000037</v>
      </c>
      <c r="M351" s="44">
        <v>0</v>
      </c>
      <c r="N351" s="44">
        <v>216758.16000000064</v>
      </c>
      <c r="O351" s="44">
        <v>0</v>
      </c>
      <c r="P351" s="44">
        <v>0</v>
      </c>
      <c r="Q351" s="44">
        <v>0</v>
      </c>
      <c r="R351" s="44">
        <v>0</v>
      </c>
      <c r="S351" s="44">
        <v>0</v>
      </c>
      <c r="T351" s="44">
        <v>0</v>
      </c>
      <c r="U351" s="44">
        <v>31730.986199999999</v>
      </c>
      <c r="V351" s="44">
        <v>3161.0564999999988</v>
      </c>
      <c r="W351" s="44">
        <v>0</v>
      </c>
      <c r="X351" s="44">
        <v>9693.9065999999966</v>
      </c>
      <c r="Y351" s="44">
        <v>4455.5844000000034</v>
      </c>
      <c r="Z351" s="44">
        <v>3793.2676000000029</v>
      </c>
      <c r="AA351" s="44">
        <v>0</v>
      </c>
      <c r="AB351" s="44">
        <v>41564.263845329384</v>
      </c>
      <c r="AC351" s="44">
        <v>0</v>
      </c>
      <c r="AD351" s="44">
        <v>335767.3509162984</v>
      </c>
      <c r="AE351" s="44">
        <v>0</v>
      </c>
      <c r="AF351" s="44">
        <v>0</v>
      </c>
      <c r="AG351" s="44">
        <v>138243.54</v>
      </c>
      <c r="AH351" s="44">
        <v>0</v>
      </c>
      <c r="AI351" s="44">
        <v>0</v>
      </c>
      <c r="AJ351" s="44">
        <v>0</v>
      </c>
      <c r="AK351" s="44">
        <v>15581.9018</v>
      </c>
      <c r="AL351" s="44">
        <v>0</v>
      </c>
      <c r="AM351" s="44">
        <v>0</v>
      </c>
      <c r="AN351" s="44">
        <v>0</v>
      </c>
      <c r="AO351" s="44">
        <v>0</v>
      </c>
      <c r="AP351" s="44">
        <v>0</v>
      </c>
      <c r="AQ351" s="44">
        <v>0</v>
      </c>
      <c r="AR351" s="44">
        <v>0</v>
      </c>
      <c r="AS351" s="44">
        <v>0</v>
      </c>
      <c r="AT351" s="44">
        <v>7343838.6912000002</v>
      </c>
      <c r="AU351" s="44">
        <v>719699.12126162846</v>
      </c>
      <c r="AV351" s="44">
        <v>153825.4418</v>
      </c>
      <c r="AW351" s="44">
        <v>874143.03872629884</v>
      </c>
      <c r="AX351" s="62">
        <v>8217363.2542616287</v>
      </c>
      <c r="AY351" s="62">
        <v>8201781.3524616286</v>
      </c>
      <c r="AZ351" s="62">
        <v>5995</v>
      </c>
      <c r="BA351" s="62">
        <v>8321060</v>
      </c>
      <c r="BB351" s="62">
        <v>0</v>
      </c>
      <c r="BC351" s="62">
        <v>119278.64753837138</v>
      </c>
      <c r="BD351" s="62">
        <v>8336641.9018000001</v>
      </c>
      <c r="BE351" s="44">
        <v>0</v>
      </c>
      <c r="BF351" s="44">
        <v>8336641.9018000001</v>
      </c>
      <c r="BG351" s="62">
        <v>8336641.9018000001</v>
      </c>
      <c r="BH351" s="62">
        <v>8182816.46</v>
      </c>
      <c r="BI351" s="44">
        <v>8182816.46</v>
      </c>
      <c r="BJ351" s="44">
        <v>5895.4009077809797</v>
      </c>
      <c r="BK351" s="44">
        <v>5820.483690425659</v>
      </c>
      <c r="BL351" s="45">
        <v>1.287130440354208E-2</v>
      </c>
      <c r="BM351" s="45">
        <v>0</v>
      </c>
      <c r="BN351" s="44">
        <v>0</v>
      </c>
      <c r="BO351" s="62">
        <v>8336641.9018000001</v>
      </c>
      <c r="BP351" s="62">
        <v>5995</v>
      </c>
      <c r="BQ351" s="62" t="s">
        <v>92</v>
      </c>
      <c r="BR351" s="62">
        <v>6006.2261540345826</v>
      </c>
      <c r="BS351" s="53">
        <v>8.1029508469325773E-3</v>
      </c>
      <c r="BT351" s="44">
        <v>0</v>
      </c>
      <c r="BU351" s="44">
        <v>8336641.9018000001</v>
      </c>
      <c r="BV351" s="44">
        <v>0</v>
      </c>
      <c r="BW351" s="44">
        <v>8336641.9018000001</v>
      </c>
      <c r="BX351" s="44">
        <v>15581.9018</v>
      </c>
      <c r="BY351" s="44">
        <v>8321060</v>
      </c>
    </row>
    <row r="352" spans="1:77">
      <c r="A352">
        <v>0</v>
      </c>
      <c r="B352" s="60">
        <v>138059</v>
      </c>
      <c r="C352" s="60">
        <v>3304323</v>
      </c>
      <c r="D352" s="61" t="s">
        <v>1057</v>
      </c>
      <c r="E352" s="52">
        <v>1098</v>
      </c>
      <c r="F352" s="52">
        <v>0</v>
      </c>
      <c r="G352" s="52">
        <v>1098</v>
      </c>
      <c r="H352" s="44">
        <v>0</v>
      </c>
      <c r="I352" s="44">
        <v>3437025.7503999998</v>
      </c>
      <c r="J352" s="44">
        <v>2363241.9616</v>
      </c>
      <c r="K352" s="44">
        <v>0</v>
      </c>
      <c r="L352" s="44">
        <v>211931.27689999971</v>
      </c>
      <c r="M352" s="44">
        <v>0</v>
      </c>
      <c r="N352" s="44">
        <v>670746.08399999957</v>
      </c>
      <c r="O352" s="44">
        <v>0</v>
      </c>
      <c r="P352" s="44">
        <v>0</v>
      </c>
      <c r="Q352" s="44">
        <v>0</v>
      </c>
      <c r="R352" s="44">
        <v>0</v>
      </c>
      <c r="S352" s="44">
        <v>0</v>
      </c>
      <c r="T352" s="44">
        <v>0</v>
      </c>
      <c r="U352" s="44">
        <v>2388.3538000000012</v>
      </c>
      <c r="V352" s="44">
        <v>114249.61350000018</v>
      </c>
      <c r="W352" s="44">
        <v>116959.09050000002</v>
      </c>
      <c r="X352" s="44">
        <v>284585.40089999972</v>
      </c>
      <c r="Y352" s="44">
        <v>158915.8436000004</v>
      </c>
      <c r="Z352" s="44">
        <v>16121.387300000037</v>
      </c>
      <c r="AA352" s="44">
        <v>0</v>
      </c>
      <c r="AB352" s="44">
        <v>7952.8164999999944</v>
      </c>
      <c r="AC352" s="44">
        <v>0</v>
      </c>
      <c r="AD352" s="44">
        <v>573650.88300976763</v>
      </c>
      <c r="AE352" s="44">
        <v>0</v>
      </c>
      <c r="AF352" s="44">
        <v>0</v>
      </c>
      <c r="AG352" s="44">
        <v>138243.54</v>
      </c>
      <c r="AH352" s="44">
        <v>0</v>
      </c>
      <c r="AI352" s="44">
        <v>0</v>
      </c>
      <c r="AJ352" s="44">
        <v>0</v>
      </c>
      <c r="AK352" s="44">
        <v>41339.750399999997</v>
      </c>
      <c r="AL352" s="44">
        <v>0</v>
      </c>
      <c r="AM352" s="44">
        <v>0</v>
      </c>
      <c r="AN352" s="44">
        <v>0</v>
      </c>
      <c r="AO352" s="44">
        <v>0</v>
      </c>
      <c r="AP352" s="44">
        <v>0</v>
      </c>
      <c r="AQ352" s="44">
        <v>0</v>
      </c>
      <c r="AR352" s="44">
        <v>0</v>
      </c>
      <c r="AS352" s="44">
        <v>0</v>
      </c>
      <c r="AT352" s="44">
        <v>5800267.7119999994</v>
      </c>
      <c r="AU352" s="44">
        <v>2157500.7500097677</v>
      </c>
      <c r="AV352" s="44">
        <v>179583.2904</v>
      </c>
      <c r="AW352" s="44">
        <v>1651612.7938597675</v>
      </c>
      <c r="AX352" s="62">
        <v>8137351.7524097674</v>
      </c>
      <c r="AY352" s="62">
        <v>8096012.0020097671</v>
      </c>
      <c r="AZ352" s="62">
        <v>5995</v>
      </c>
      <c r="BA352" s="62">
        <v>6582510</v>
      </c>
      <c r="BB352" s="62">
        <v>0</v>
      </c>
      <c r="BC352" s="62">
        <v>0</v>
      </c>
      <c r="BD352" s="62">
        <v>8137351.7524097674</v>
      </c>
      <c r="BE352" s="44">
        <v>0</v>
      </c>
      <c r="BF352" s="44">
        <v>8137351.7524097655</v>
      </c>
      <c r="BG352" s="62">
        <v>6623849.7504000003</v>
      </c>
      <c r="BH352" s="62">
        <v>6444266.46</v>
      </c>
      <c r="BI352" s="44">
        <v>7957768.4620097671</v>
      </c>
      <c r="BJ352" s="44">
        <v>7247.5122604824837</v>
      </c>
      <c r="BK352" s="44">
        <v>7556.4500025210091</v>
      </c>
      <c r="BL352" s="45">
        <v>-4.0883978843961978E-2</v>
      </c>
      <c r="BM352" s="45">
        <v>4.5883978843961976E-2</v>
      </c>
      <c r="BN352" s="44">
        <v>380698.55127214122</v>
      </c>
      <c r="BO352" s="62">
        <v>8518050.3036819082</v>
      </c>
      <c r="BP352" s="62">
        <v>7720.1371159215923</v>
      </c>
      <c r="BQ352" s="62" t="s">
        <v>92</v>
      </c>
      <c r="BR352" s="62">
        <v>7757.7871618232311</v>
      </c>
      <c r="BS352" s="53">
        <v>7.5500860370412148E-3</v>
      </c>
      <c r="BT352" s="44">
        <v>0</v>
      </c>
      <c r="BU352" s="44">
        <v>8518050.3036819082</v>
      </c>
      <c r="BV352" s="44">
        <v>0</v>
      </c>
      <c r="BW352" s="44">
        <v>8518050.3036819082</v>
      </c>
      <c r="BX352" s="44">
        <v>41339.750399999997</v>
      </c>
      <c r="BY352" s="44">
        <v>8476710.5532819089</v>
      </c>
    </row>
    <row r="353" spans="1:77">
      <c r="A353">
        <v>0</v>
      </c>
      <c r="B353" s="60">
        <v>137053</v>
      </c>
      <c r="C353" s="60">
        <v>3304331</v>
      </c>
      <c r="D353" s="61" t="s">
        <v>1058</v>
      </c>
      <c r="E353" s="52">
        <v>1245</v>
      </c>
      <c r="F353" s="52">
        <v>0</v>
      </c>
      <c r="G353" s="52">
        <v>1245</v>
      </c>
      <c r="H353" s="44">
        <v>0</v>
      </c>
      <c r="I353" s="44">
        <v>3915790.3344000001</v>
      </c>
      <c r="J353" s="44">
        <v>2658647.2067999998</v>
      </c>
      <c r="K353" s="44">
        <v>0</v>
      </c>
      <c r="L353" s="44">
        <v>81133.78350000018</v>
      </c>
      <c r="M353" s="44">
        <v>0</v>
      </c>
      <c r="N353" s="44">
        <v>245659.24799999999</v>
      </c>
      <c r="O353" s="44">
        <v>0</v>
      </c>
      <c r="P353" s="44">
        <v>0</v>
      </c>
      <c r="Q353" s="44">
        <v>0</v>
      </c>
      <c r="R353" s="44">
        <v>0</v>
      </c>
      <c r="S353" s="44">
        <v>0</v>
      </c>
      <c r="T353" s="44">
        <v>0</v>
      </c>
      <c r="U353" s="44">
        <v>23542.344599999975</v>
      </c>
      <c r="V353" s="44">
        <v>9483.1695000000163</v>
      </c>
      <c r="W353" s="44">
        <v>1896.6339000000021</v>
      </c>
      <c r="X353" s="44">
        <v>32543.829300000041</v>
      </c>
      <c r="Y353" s="44">
        <v>23020.519400000001</v>
      </c>
      <c r="Z353" s="44">
        <v>18966.337999999942</v>
      </c>
      <c r="AA353" s="44">
        <v>0</v>
      </c>
      <c r="AB353" s="44">
        <v>58992.993892512008</v>
      </c>
      <c r="AC353" s="44">
        <v>0</v>
      </c>
      <c r="AD353" s="44">
        <v>335275.81355998712</v>
      </c>
      <c r="AE353" s="44">
        <v>0</v>
      </c>
      <c r="AF353" s="44">
        <v>0</v>
      </c>
      <c r="AG353" s="44">
        <v>138243.54</v>
      </c>
      <c r="AH353" s="44">
        <v>0</v>
      </c>
      <c r="AI353" s="44">
        <v>0</v>
      </c>
      <c r="AJ353" s="44">
        <v>0</v>
      </c>
      <c r="AK353" s="44">
        <v>24379.852800000001</v>
      </c>
      <c r="AL353" s="44">
        <v>0</v>
      </c>
      <c r="AM353" s="44">
        <v>0</v>
      </c>
      <c r="AN353" s="44">
        <v>0</v>
      </c>
      <c r="AO353" s="44">
        <v>0</v>
      </c>
      <c r="AP353" s="44">
        <v>0</v>
      </c>
      <c r="AQ353" s="44">
        <v>0</v>
      </c>
      <c r="AR353" s="44">
        <v>0</v>
      </c>
      <c r="AS353" s="44">
        <v>0</v>
      </c>
      <c r="AT353" s="44">
        <v>6574437.5411999999</v>
      </c>
      <c r="AU353" s="44">
        <v>830514.67365249922</v>
      </c>
      <c r="AV353" s="44">
        <v>162623.3928</v>
      </c>
      <c r="AW353" s="44">
        <v>882120.62371998723</v>
      </c>
      <c r="AX353" s="62">
        <v>7567575.6076524984</v>
      </c>
      <c r="AY353" s="62">
        <v>7543195.754852498</v>
      </c>
      <c r="AZ353" s="62">
        <v>5995</v>
      </c>
      <c r="BA353" s="62">
        <v>7463775</v>
      </c>
      <c r="BB353" s="62">
        <v>0</v>
      </c>
      <c r="BC353" s="62">
        <v>0</v>
      </c>
      <c r="BD353" s="62">
        <v>7567575.6076524984</v>
      </c>
      <c r="BE353" s="44">
        <v>0</v>
      </c>
      <c r="BF353" s="44">
        <v>7567575.6076524984</v>
      </c>
      <c r="BG353" s="62">
        <v>7488154.8528000005</v>
      </c>
      <c r="BH353" s="62">
        <v>7325531.46</v>
      </c>
      <c r="BI353" s="44">
        <v>7404952.2148524979</v>
      </c>
      <c r="BJ353" s="44">
        <v>5947.7527830140543</v>
      </c>
      <c r="BK353" s="44">
        <v>5838.8571621621622</v>
      </c>
      <c r="BL353" s="45">
        <v>1.8650160095981423E-2</v>
      </c>
      <c r="BM353" s="45">
        <v>0</v>
      </c>
      <c r="BN353" s="44">
        <v>0</v>
      </c>
      <c r="BO353" s="62">
        <v>7567575.6076524984</v>
      </c>
      <c r="BP353" s="62">
        <v>6058.7917709658614</v>
      </c>
      <c r="BQ353" s="62" t="s">
        <v>92</v>
      </c>
      <c r="BR353" s="62">
        <v>6078.3739820501996</v>
      </c>
      <c r="BS353" s="53">
        <v>1.5609837064839871E-2</v>
      </c>
      <c r="BT353" s="44">
        <v>0</v>
      </c>
      <c r="BU353" s="44">
        <v>7567575.6076524984</v>
      </c>
      <c r="BV353" s="44">
        <v>0</v>
      </c>
      <c r="BW353" s="44">
        <v>7567575.6076524984</v>
      </c>
      <c r="BX353" s="44">
        <v>24379.852800000001</v>
      </c>
      <c r="BY353" s="44">
        <v>7543195.754852498</v>
      </c>
    </row>
    <row r="354" spans="1:77">
      <c r="A354">
        <v>0</v>
      </c>
      <c r="B354" s="60">
        <v>141835</v>
      </c>
      <c r="C354" s="60">
        <v>3304616</v>
      </c>
      <c r="D354" s="61" t="s">
        <v>1059</v>
      </c>
      <c r="E354" s="52">
        <v>1055</v>
      </c>
      <c r="F354" s="52">
        <v>0</v>
      </c>
      <c r="G354" s="52">
        <v>1055</v>
      </c>
      <c r="H354" s="44">
        <v>0</v>
      </c>
      <c r="I354" s="44">
        <v>3245519.9167999998</v>
      </c>
      <c r="J354" s="44">
        <v>2334837.6110999999</v>
      </c>
      <c r="K354" s="44">
        <v>0</v>
      </c>
      <c r="L354" s="44">
        <v>231108.35300000024</v>
      </c>
      <c r="M354" s="44">
        <v>0</v>
      </c>
      <c r="N354" s="44">
        <v>643049.20799999963</v>
      </c>
      <c r="O354" s="44">
        <v>0</v>
      </c>
      <c r="P354" s="44">
        <v>0</v>
      </c>
      <c r="Q354" s="44">
        <v>0</v>
      </c>
      <c r="R354" s="44">
        <v>0</v>
      </c>
      <c r="S354" s="44">
        <v>0</v>
      </c>
      <c r="T354" s="44">
        <v>0</v>
      </c>
      <c r="U354" s="44">
        <v>23564.680790322574</v>
      </c>
      <c r="V354" s="44">
        <v>38872.683145161267</v>
      </c>
      <c r="W354" s="44">
        <v>43031.156225806481</v>
      </c>
      <c r="X354" s="44">
        <v>63070.175056451582</v>
      </c>
      <c r="Y354" s="44">
        <v>272048.51429032267</v>
      </c>
      <c r="Z354" s="44">
        <v>180351.15996679279</v>
      </c>
      <c r="AA354" s="44">
        <v>0</v>
      </c>
      <c r="AB354" s="44">
        <v>106593.76571607318</v>
      </c>
      <c r="AC354" s="44">
        <v>0</v>
      </c>
      <c r="AD354" s="44">
        <v>455312.56385928154</v>
      </c>
      <c r="AE354" s="44">
        <v>0</v>
      </c>
      <c r="AF354" s="44">
        <v>0</v>
      </c>
      <c r="AG354" s="44">
        <v>138243.54</v>
      </c>
      <c r="AH354" s="44">
        <v>0</v>
      </c>
      <c r="AI354" s="44">
        <v>0</v>
      </c>
      <c r="AJ354" s="44">
        <v>0</v>
      </c>
      <c r="AK354" s="44">
        <v>25863.8459</v>
      </c>
      <c r="AL354" s="44">
        <v>0</v>
      </c>
      <c r="AM354" s="44">
        <v>0</v>
      </c>
      <c r="AN354" s="44">
        <v>0</v>
      </c>
      <c r="AO354" s="44">
        <v>0</v>
      </c>
      <c r="AP354" s="44">
        <v>0</v>
      </c>
      <c r="AQ354" s="44">
        <v>0</v>
      </c>
      <c r="AR354" s="44">
        <v>0</v>
      </c>
      <c r="AS354" s="44">
        <v>0</v>
      </c>
      <c r="AT354" s="44">
        <v>5580357.5278999992</v>
      </c>
      <c r="AU354" s="44">
        <v>2057002.260050212</v>
      </c>
      <c r="AV354" s="44">
        <v>164107.38589999999</v>
      </c>
      <c r="AW354" s="44">
        <v>1481878.4054917102</v>
      </c>
      <c r="AX354" s="62">
        <v>7801467.1738502113</v>
      </c>
      <c r="AY354" s="62">
        <v>7775603.3279502112</v>
      </c>
      <c r="AZ354" s="62">
        <v>5995</v>
      </c>
      <c r="BA354" s="62">
        <v>6324725</v>
      </c>
      <c r="BB354" s="62">
        <v>0</v>
      </c>
      <c r="BC354" s="62">
        <v>0</v>
      </c>
      <c r="BD354" s="62">
        <v>7801467.1738502113</v>
      </c>
      <c r="BE354" s="44">
        <v>0</v>
      </c>
      <c r="BF354" s="44">
        <v>7801467.1738502113</v>
      </c>
      <c r="BG354" s="62">
        <v>6350588.8459000001</v>
      </c>
      <c r="BH354" s="62">
        <v>6186481.46</v>
      </c>
      <c r="BI354" s="44">
        <v>7637359.7879502112</v>
      </c>
      <c r="BJ354" s="44">
        <v>7239.2035904741342</v>
      </c>
      <c r="BK354" s="44">
        <v>7109.6700410748554</v>
      </c>
      <c r="BL354" s="45">
        <v>1.8219347543686527E-2</v>
      </c>
      <c r="BM354" s="45">
        <v>0</v>
      </c>
      <c r="BN354" s="44">
        <v>0</v>
      </c>
      <c r="BO354" s="62">
        <v>7801467.1738502113</v>
      </c>
      <c r="BP354" s="62">
        <v>7370.2401212798213</v>
      </c>
      <c r="BQ354" s="62" t="s">
        <v>92</v>
      </c>
      <c r="BR354" s="62">
        <v>7394.755615023897</v>
      </c>
      <c r="BS354" s="53">
        <v>1.7852375870110349E-2</v>
      </c>
      <c r="BT354" s="44">
        <v>0</v>
      </c>
      <c r="BU354" s="44">
        <v>7801467.1738502113</v>
      </c>
      <c r="BV354" s="44">
        <v>0</v>
      </c>
      <c r="BW354" s="44">
        <v>7801467.1738502113</v>
      </c>
      <c r="BX354" s="44">
        <v>25863.8459</v>
      </c>
      <c r="BY354" s="44">
        <v>7775603.3279502112</v>
      </c>
    </row>
    <row r="355" spans="1:77">
      <c r="A355">
        <v>0</v>
      </c>
      <c r="B355" s="60">
        <v>137988</v>
      </c>
      <c r="C355" s="60">
        <v>3304660</v>
      </c>
      <c r="D355" s="61" t="s">
        <v>1060</v>
      </c>
      <c r="E355" s="52">
        <v>958</v>
      </c>
      <c r="F355" s="52">
        <v>0</v>
      </c>
      <c r="G355" s="52">
        <v>958</v>
      </c>
      <c r="H355" s="44">
        <v>0</v>
      </c>
      <c r="I355" s="44">
        <v>2897785.64</v>
      </c>
      <c r="J355" s="44">
        <v>2175773.2483000001</v>
      </c>
      <c r="K355" s="44">
        <v>0</v>
      </c>
      <c r="L355" s="44">
        <v>44746.510899999979</v>
      </c>
      <c r="M355" s="44">
        <v>0</v>
      </c>
      <c r="N355" s="44">
        <v>146913.86399999994</v>
      </c>
      <c r="O355" s="44">
        <v>0</v>
      </c>
      <c r="P355" s="44">
        <v>0</v>
      </c>
      <c r="Q355" s="44">
        <v>0</v>
      </c>
      <c r="R355" s="44">
        <v>0</v>
      </c>
      <c r="S355" s="44">
        <v>0</v>
      </c>
      <c r="T355" s="44">
        <v>0</v>
      </c>
      <c r="U355" s="44">
        <v>25643.039529288708</v>
      </c>
      <c r="V355" s="44">
        <v>18553.493306485343</v>
      </c>
      <c r="W355" s="44">
        <v>12037.144437866111</v>
      </c>
      <c r="X355" s="44">
        <v>40244.48792008368</v>
      </c>
      <c r="Y355" s="44">
        <v>34230.94374811717</v>
      </c>
      <c r="Z355" s="44">
        <v>21856.91901108783</v>
      </c>
      <c r="AA355" s="44">
        <v>0</v>
      </c>
      <c r="AB355" s="44">
        <v>46465.856572660312</v>
      </c>
      <c r="AC355" s="44">
        <v>0</v>
      </c>
      <c r="AD355" s="44">
        <v>9607.7275229164516</v>
      </c>
      <c r="AE355" s="44">
        <v>0</v>
      </c>
      <c r="AF355" s="44">
        <v>0</v>
      </c>
      <c r="AG355" s="44">
        <v>138243.54</v>
      </c>
      <c r="AH355" s="44">
        <v>0</v>
      </c>
      <c r="AI355" s="44">
        <v>0</v>
      </c>
      <c r="AJ355" s="44">
        <v>0</v>
      </c>
      <c r="AK355" s="44">
        <v>18867.890200000002</v>
      </c>
      <c r="AL355" s="44">
        <v>0</v>
      </c>
      <c r="AM355" s="44">
        <v>0</v>
      </c>
      <c r="AN355" s="44">
        <v>0</v>
      </c>
      <c r="AO355" s="44">
        <v>0</v>
      </c>
      <c r="AP355" s="44">
        <v>0</v>
      </c>
      <c r="AQ355" s="44">
        <v>0</v>
      </c>
      <c r="AR355" s="44">
        <v>0</v>
      </c>
      <c r="AS355" s="44">
        <v>0</v>
      </c>
      <c r="AT355" s="44">
        <v>5073558.8882999998</v>
      </c>
      <c r="AU355" s="44">
        <v>400299.98694850563</v>
      </c>
      <c r="AV355" s="44">
        <v>157111.4302</v>
      </c>
      <c r="AW355" s="44">
        <v>435398.87336438091</v>
      </c>
      <c r="AX355" s="62">
        <v>5630970.305448506</v>
      </c>
      <c r="AY355" s="62">
        <v>5612102.4152485058</v>
      </c>
      <c r="AZ355" s="62">
        <v>5995</v>
      </c>
      <c r="BA355" s="62">
        <v>5743210</v>
      </c>
      <c r="BB355" s="62">
        <v>0</v>
      </c>
      <c r="BC355" s="62">
        <v>131107.58475149423</v>
      </c>
      <c r="BD355" s="62">
        <v>5762077.8902000003</v>
      </c>
      <c r="BE355" s="44">
        <v>0</v>
      </c>
      <c r="BF355" s="44">
        <v>5762077.8902000012</v>
      </c>
      <c r="BG355" s="62">
        <v>5762077.8902000003</v>
      </c>
      <c r="BH355" s="62">
        <v>5604966.46</v>
      </c>
      <c r="BI355" s="44">
        <v>5604966.46</v>
      </c>
      <c r="BJ355" s="44">
        <v>5850.6956784968688</v>
      </c>
      <c r="BK355" s="44">
        <v>5765.6115947141316</v>
      </c>
      <c r="BL355" s="45">
        <v>1.475716537352979E-2</v>
      </c>
      <c r="BM355" s="45">
        <v>0</v>
      </c>
      <c r="BN355" s="44">
        <v>0</v>
      </c>
      <c r="BO355" s="62">
        <v>5762077.8902000003</v>
      </c>
      <c r="BP355" s="62">
        <v>5995</v>
      </c>
      <c r="BQ355" s="62" t="s">
        <v>92</v>
      </c>
      <c r="BR355" s="62">
        <v>6014.6950837160757</v>
      </c>
      <c r="BS355" s="53">
        <v>1.2263143079431993E-2</v>
      </c>
      <c r="BT355" s="44">
        <v>0</v>
      </c>
      <c r="BU355" s="44">
        <v>5762077.8902000003</v>
      </c>
      <c r="BV355" s="44">
        <v>0</v>
      </c>
      <c r="BW355" s="44">
        <v>5762077.8902000003</v>
      </c>
      <c r="BX355" s="44">
        <v>18867.890200000002</v>
      </c>
      <c r="BY355" s="44">
        <v>5743210</v>
      </c>
    </row>
    <row r="356" spans="1:77">
      <c r="A356">
        <v>0</v>
      </c>
      <c r="B356" s="60">
        <v>140524</v>
      </c>
      <c r="C356" s="60">
        <v>3304661</v>
      </c>
      <c r="D356" s="61" t="s">
        <v>1061</v>
      </c>
      <c r="E356" s="52">
        <v>842</v>
      </c>
      <c r="F356" s="52">
        <v>0</v>
      </c>
      <c r="G356" s="52">
        <v>842</v>
      </c>
      <c r="H356" s="44">
        <v>0</v>
      </c>
      <c r="I356" s="44">
        <v>2580289.1264</v>
      </c>
      <c r="J356" s="44">
        <v>1874687.1329999999</v>
      </c>
      <c r="K356" s="44">
        <v>0</v>
      </c>
      <c r="L356" s="44">
        <v>45238.230800000143</v>
      </c>
      <c r="M356" s="44">
        <v>0</v>
      </c>
      <c r="N356" s="44">
        <v>127646.47200000026</v>
      </c>
      <c r="O356" s="44">
        <v>0</v>
      </c>
      <c r="P356" s="44">
        <v>0</v>
      </c>
      <c r="Q356" s="44">
        <v>0</v>
      </c>
      <c r="R356" s="44">
        <v>0</v>
      </c>
      <c r="S356" s="44">
        <v>0</v>
      </c>
      <c r="T356" s="44">
        <v>0</v>
      </c>
      <c r="U356" s="44">
        <v>22518.764400000004</v>
      </c>
      <c r="V356" s="44">
        <v>10837.90800000001</v>
      </c>
      <c r="W356" s="44">
        <v>8218.7469000000056</v>
      </c>
      <c r="X356" s="44">
        <v>44315.001600000032</v>
      </c>
      <c r="Y356" s="44">
        <v>25248.311599999972</v>
      </c>
      <c r="Z356" s="44">
        <v>24656.239400000013</v>
      </c>
      <c r="AA356" s="44">
        <v>0</v>
      </c>
      <c r="AB356" s="44">
        <v>15905.63300000004</v>
      </c>
      <c r="AC356" s="44">
        <v>0</v>
      </c>
      <c r="AD356" s="44">
        <v>245883.0264870234</v>
      </c>
      <c r="AE356" s="44">
        <v>0</v>
      </c>
      <c r="AF356" s="44">
        <v>0</v>
      </c>
      <c r="AG356" s="44">
        <v>138243.54</v>
      </c>
      <c r="AH356" s="44">
        <v>0</v>
      </c>
      <c r="AI356" s="44">
        <v>0</v>
      </c>
      <c r="AJ356" s="44">
        <v>0</v>
      </c>
      <c r="AK356" s="44">
        <v>26178.943500000001</v>
      </c>
      <c r="AL356" s="44">
        <v>0</v>
      </c>
      <c r="AM356" s="44">
        <v>0</v>
      </c>
      <c r="AN356" s="44">
        <v>0</v>
      </c>
      <c r="AO356" s="44">
        <v>0</v>
      </c>
      <c r="AP356" s="44">
        <v>0</v>
      </c>
      <c r="AQ356" s="44">
        <v>0</v>
      </c>
      <c r="AR356" s="44">
        <v>0</v>
      </c>
      <c r="AS356" s="44">
        <v>0</v>
      </c>
      <c r="AT356" s="44">
        <v>4454976.2593999999</v>
      </c>
      <c r="AU356" s="44">
        <v>570468.33418702381</v>
      </c>
      <c r="AV356" s="44">
        <v>164422.4835</v>
      </c>
      <c r="AW356" s="44">
        <v>622971.67680702358</v>
      </c>
      <c r="AX356" s="62">
        <v>5189867.0770870242</v>
      </c>
      <c r="AY356" s="62">
        <v>5163688.1335870242</v>
      </c>
      <c r="AZ356" s="62">
        <v>5995</v>
      </c>
      <c r="BA356" s="62">
        <v>5047790</v>
      </c>
      <c r="BB356" s="62">
        <v>0</v>
      </c>
      <c r="BC356" s="62">
        <v>0</v>
      </c>
      <c r="BD356" s="62">
        <v>5189867.0770870242</v>
      </c>
      <c r="BE356" s="44">
        <v>0</v>
      </c>
      <c r="BF356" s="44">
        <v>5189867.0770870233</v>
      </c>
      <c r="BG356" s="62">
        <v>5073968.9435000001</v>
      </c>
      <c r="BH356" s="62">
        <v>4909546.46</v>
      </c>
      <c r="BI356" s="44">
        <v>5025444.5935870241</v>
      </c>
      <c r="BJ356" s="44">
        <v>5968.4615125736627</v>
      </c>
      <c r="BK356" s="44">
        <v>5833.7631302663449</v>
      </c>
      <c r="BL356" s="45">
        <v>2.3089450034144272E-2</v>
      </c>
      <c r="BM356" s="45">
        <v>0</v>
      </c>
      <c r="BN356" s="44">
        <v>0</v>
      </c>
      <c r="BO356" s="62">
        <v>5189867.0770870242</v>
      </c>
      <c r="BP356" s="62">
        <v>6132.6462394145183</v>
      </c>
      <c r="BQ356" s="62" t="s">
        <v>92</v>
      </c>
      <c r="BR356" s="62">
        <v>6163.7376212434965</v>
      </c>
      <c r="BS356" s="53">
        <v>2.3314817202613858E-2</v>
      </c>
      <c r="BT356" s="44">
        <v>0</v>
      </c>
      <c r="BU356" s="44">
        <v>5189867.0770870242</v>
      </c>
      <c r="BV356" s="44">
        <v>0</v>
      </c>
      <c r="BW356" s="44">
        <v>5189867.0770870242</v>
      </c>
      <c r="BX356" s="44">
        <v>26178.943500000001</v>
      </c>
      <c r="BY356" s="44">
        <v>5163688.1335870242</v>
      </c>
    </row>
    <row r="357" spans="1:77">
      <c r="A357">
        <v>0</v>
      </c>
      <c r="B357" s="60">
        <v>147707</v>
      </c>
      <c r="C357" s="60">
        <v>3304663</v>
      </c>
      <c r="D357" s="61" t="s">
        <v>1062</v>
      </c>
      <c r="E357" s="52">
        <v>1005</v>
      </c>
      <c r="F357" s="52">
        <v>0</v>
      </c>
      <c r="G357" s="52">
        <v>1005</v>
      </c>
      <c r="H357" s="44">
        <v>0</v>
      </c>
      <c r="I357" s="44">
        <v>3038895.2015999998</v>
      </c>
      <c r="J357" s="44">
        <v>2283709.7801999999</v>
      </c>
      <c r="K357" s="44">
        <v>0</v>
      </c>
      <c r="L357" s="44">
        <v>228158.03359999991</v>
      </c>
      <c r="M357" s="44">
        <v>0</v>
      </c>
      <c r="N357" s="44">
        <v>575613.33600000036</v>
      </c>
      <c r="O357" s="44">
        <v>0</v>
      </c>
      <c r="P357" s="44">
        <v>0</v>
      </c>
      <c r="Q357" s="44">
        <v>0</v>
      </c>
      <c r="R357" s="44">
        <v>0</v>
      </c>
      <c r="S357" s="44">
        <v>0</v>
      </c>
      <c r="T357" s="44">
        <v>0</v>
      </c>
      <c r="U357" s="44">
        <v>67215.099799999851</v>
      </c>
      <c r="V357" s="44">
        <v>45609.529500000026</v>
      </c>
      <c r="W357" s="44">
        <v>26552.874599999999</v>
      </c>
      <c r="X357" s="44">
        <v>119788.98869999994</v>
      </c>
      <c r="Y357" s="44">
        <v>96537.662000000171</v>
      </c>
      <c r="Z357" s="44">
        <v>213371.30249999967</v>
      </c>
      <c r="AA357" s="44">
        <v>0</v>
      </c>
      <c r="AB357" s="44">
        <v>67407.306117469911</v>
      </c>
      <c r="AC357" s="44">
        <v>0</v>
      </c>
      <c r="AD357" s="44">
        <v>437462.3107280407</v>
      </c>
      <c r="AE357" s="44">
        <v>0</v>
      </c>
      <c r="AF357" s="44">
        <v>0</v>
      </c>
      <c r="AG357" s="44">
        <v>138243.54</v>
      </c>
      <c r="AH357" s="44">
        <v>0</v>
      </c>
      <c r="AI357" s="44">
        <v>0</v>
      </c>
      <c r="AJ357" s="44">
        <v>0</v>
      </c>
      <c r="AK357" s="44">
        <v>22577.8678</v>
      </c>
      <c r="AL357" s="44">
        <v>0</v>
      </c>
      <c r="AM357" s="44">
        <v>0</v>
      </c>
      <c r="AN357" s="44">
        <v>0</v>
      </c>
      <c r="AO357" s="44">
        <v>0</v>
      </c>
      <c r="AP357" s="44">
        <v>0</v>
      </c>
      <c r="AQ357" s="44">
        <v>0</v>
      </c>
      <c r="AR357" s="44">
        <v>0</v>
      </c>
      <c r="AS357" s="44">
        <v>0</v>
      </c>
      <c r="AT357" s="44">
        <v>5322604.9817999993</v>
      </c>
      <c r="AU357" s="44">
        <v>1877716.4435455108</v>
      </c>
      <c r="AV357" s="44">
        <v>160821.40780000002</v>
      </c>
      <c r="AW357" s="44">
        <v>1390015.9731680406</v>
      </c>
      <c r="AX357" s="62">
        <v>7361142.8331455104</v>
      </c>
      <c r="AY357" s="62">
        <v>7338564.9653455103</v>
      </c>
      <c r="AZ357" s="62">
        <v>5995</v>
      </c>
      <c r="BA357" s="62">
        <v>6024975</v>
      </c>
      <c r="BB357" s="62">
        <v>0</v>
      </c>
      <c r="BC357" s="62">
        <v>0</v>
      </c>
      <c r="BD357" s="62">
        <v>7361142.8331455104</v>
      </c>
      <c r="BE357" s="44">
        <v>0</v>
      </c>
      <c r="BF357" s="44">
        <v>7361142.8331455095</v>
      </c>
      <c r="BG357" s="62">
        <v>6047552.8678000001</v>
      </c>
      <c r="BH357" s="62">
        <v>5886731.46</v>
      </c>
      <c r="BI357" s="44">
        <v>7200321.4253455102</v>
      </c>
      <c r="BJ357" s="44">
        <v>7164.4989306920497</v>
      </c>
      <c r="BK357" s="44">
        <v>7054.0586466752238</v>
      </c>
      <c r="BL357" s="45">
        <v>1.5656275280455673E-2</v>
      </c>
      <c r="BM357" s="45">
        <v>0</v>
      </c>
      <c r="BN357" s="44">
        <v>0</v>
      </c>
      <c r="BO357" s="62">
        <v>7361142.8331455104</v>
      </c>
      <c r="BP357" s="62">
        <v>7302.05469188608</v>
      </c>
      <c r="BQ357" s="62" t="s">
        <v>92</v>
      </c>
      <c r="BR357" s="62">
        <v>7324.5202319855825</v>
      </c>
      <c r="BS357" s="53">
        <v>1.4177216572444307E-2</v>
      </c>
      <c r="BT357" s="44">
        <v>0</v>
      </c>
      <c r="BU357" s="44">
        <v>7361142.8331455104</v>
      </c>
      <c r="BV357" s="44">
        <v>0</v>
      </c>
      <c r="BW357" s="44">
        <v>7361142.8331455104</v>
      </c>
      <c r="BX357" s="44">
        <v>22577.8678</v>
      </c>
      <c r="BY357" s="44">
        <v>7338564.9653455103</v>
      </c>
    </row>
    <row r="358" spans="1:77">
      <c r="A358">
        <v>0</v>
      </c>
      <c r="B358" s="60">
        <v>146124</v>
      </c>
      <c r="C358" s="60">
        <v>3304804</v>
      </c>
      <c r="D358" s="61" t="s">
        <v>1063</v>
      </c>
      <c r="E358" s="52">
        <v>1039</v>
      </c>
      <c r="F358" s="52">
        <v>0</v>
      </c>
      <c r="G358" s="52">
        <v>1039</v>
      </c>
      <c r="H358" s="44">
        <v>0</v>
      </c>
      <c r="I358" s="44">
        <v>3154806.6272</v>
      </c>
      <c r="J358" s="44">
        <v>2346199.3513000002</v>
      </c>
      <c r="K358" s="44">
        <v>0</v>
      </c>
      <c r="L358" s="44">
        <v>226191.15400000007</v>
      </c>
      <c r="M358" s="44">
        <v>0</v>
      </c>
      <c r="N358" s="44">
        <v>594880.72800000047</v>
      </c>
      <c r="O358" s="44">
        <v>0</v>
      </c>
      <c r="P358" s="44">
        <v>0</v>
      </c>
      <c r="Q358" s="44">
        <v>0</v>
      </c>
      <c r="R358" s="44">
        <v>0</v>
      </c>
      <c r="S358" s="44">
        <v>0</v>
      </c>
      <c r="T358" s="44">
        <v>0</v>
      </c>
      <c r="U358" s="44">
        <v>50935.864462294914</v>
      </c>
      <c r="V358" s="44">
        <v>111755.25730327894</v>
      </c>
      <c r="W358" s="44">
        <v>53841.601696721322</v>
      </c>
      <c r="X358" s="44">
        <v>147076.55455081994</v>
      </c>
      <c r="Y358" s="44">
        <v>97467.878029507847</v>
      </c>
      <c r="Z358" s="44">
        <v>33255.105176952784</v>
      </c>
      <c r="AA358" s="44">
        <v>0</v>
      </c>
      <c r="AB358" s="44">
        <v>77937.601700000028</v>
      </c>
      <c r="AC358" s="44">
        <v>0</v>
      </c>
      <c r="AD358" s="44">
        <v>445308.25898875645</v>
      </c>
      <c r="AE358" s="44">
        <v>0</v>
      </c>
      <c r="AF358" s="44">
        <v>0</v>
      </c>
      <c r="AG358" s="44">
        <v>138243.54</v>
      </c>
      <c r="AH358" s="44">
        <v>0</v>
      </c>
      <c r="AI358" s="44">
        <v>0</v>
      </c>
      <c r="AJ358" s="44">
        <v>0</v>
      </c>
      <c r="AK358" s="44">
        <v>21093.8747</v>
      </c>
      <c r="AL358" s="44">
        <v>0</v>
      </c>
      <c r="AM358" s="44">
        <v>0</v>
      </c>
      <c r="AN358" s="44">
        <v>0</v>
      </c>
      <c r="AO358" s="44">
        <v>0</v>
      </c>
      <c r="AP358" s="44">
        <v>0</v>
      </c>
      <c r="AQ358" s="44">
        <v>0</v>
      </c>
      <c r="AR358" s="44">
        <v>0</v>
      </c>
      <c r="AS358" s="44">
        <v>0</v>
      </c>
      <c r="AT358" s="44">
        <v>5501005.9785000002</v>
      </c>
      <c r="AU358" s="44">
        <v>1838650.0039083327</v>
      </c>
      <c r="AV358" s="44">
        <v>159337.41470000002</v>
      </c>
      <c r="AW358" s="44">
        <v>1378060.6295235446</v>
      </c>
      <c r="AX358" s="62">
        <v>7498993.3971083323</v>
      </c>
      <c r="AY358" s="62">
        <v>7477899.5224083327</v>
      </c>
      <c r="AZ358" s="62">
        <v>5995</v>
      </c>
      <c r="BA358" s="62">
        <v>6228805</v>
      </c>
      <c r="BB358" s="62">
        <v>0</v>
      </c>
      <c r="BC358" s="62">
        <v>0</v>
      </c>
      <c r="BD358" s="62">
        <v>7498993.3971083323</v>
      </c>
      <c r="BE358" s="44">
        <v>0</v>
      </c>
      <c r="BF358" s="44">
        <v>7498993.3971083323</v>
      </c>
      <c r="BG358" s="62">
        <v>6249898.8746999996</v>
      </c>
      <c r="BH358" s="62">
        <v>6090561.46</v>
      </c>
      <c r="BI358" s="44">
        <v>7339655.9824083326</v>
      </c>
      <c r="BJ358" s="44">
        <v>7064.1539772938713</v>
      </c>
      <c r="BK358" s="44">
        <v>6948.6486940269751</v>
      </c>
      <c r="BL358" s="45">
        <v>1.6622697211068387E-2</v>
      </c>
      <c r="BM358" s="45">
        <v>0</v>
      </c>
      <c r="BN358" s="44">
        <v>0</v>
      </c>
      <c r="BO358" s="62">
        <v>7498993.3971083323</v>
      </c>
      <c r="BP358" s="62">
        <v>7197.2083950032074</v>
      </c>
      <c r="BQ358" s="62" t="s">
        <v>92</v>
      </c>
      <c r="BR358" s="62">
        <v>7217.5104880734671</v>
      </c>
      <c r="BS358" s="53">
        <v>1.612871040038244E-2</v>
      </c>
      <c r="BT358" s="44">
        <v>0</v>
      </c>
      <c r="BU358" s="44">
        <v>7498993.3971083323</v>
      </c>
      <c r="BV358" s="44">
        <v>0</v>
      </c>
      <c r="BW358" s="44">
        <v>7498993.3971083323</v>
      </c>
      <c r="BX358" s="44">
        <v>21093.8747</v>
      </c>
      <c r="BY358" s="44">
        <v>7477899.5224083327</v>
      </c>
    </row>
    <row r="359" spans="1:77">
      <c r="A359">
        <v>0</v>
      </c>
      <c r="B359" s="60">
        <v>143562</v>
      </c>
      <c r="C359" s="60">
        <v>3305402</v>
      </c>
      <c r="D359" s="61" t="s">
        <v>1064</v>
      </c>
      <c r="E359" s="52">
        <v>750</v>
      </c>
      <c r="F359" s="52">
        <v>0</v>
      </c>
      <c r="G359" s="52">
        <v>750</v>
      </c>
      <c r="H359" s="44">
        <v>0</v>
      </c>
      <c r="I359" s="44">
        <v>2267832.2399999998</v>
      </c>
      <c r="J359" s="44">
        <v>1704261.03</v>
      </c>
      <c r="K359" s="44">
        <v>0</v>
      </c>
      <c r="L359" s="44">
        <v>50647.149699999878</v>
      </c>
      <c r="M359" s="44">
        <v>0</v>
      </c>
      <c r="N359" s="44">
        <v>144505.44</v>
      </c>
      <c r="O359" s="44">
        <v>0</v>
      </c>
      <c r="P359" s="44">
        <v>0</v>
      </c>
      <c r="Q359" s="44">
        <v>0</v>
      </c>
      <c r="R359" s="44">
        <v>0</v>
      </c>
      <c r="S359" s="44">
        <v>0</v>
      </c>
      <c r="T359" s="44">
        <v>0</v>
      </c>
      <c r="U359" s="44">
        <v>31431.701735647548</v>
      </c>
      <c r="V359" s="44">
        <v>46122.605807743697</v>
      </c>
      <c r="W359" s="44">
        <v>70269.146495327281</v>
      </c>
      <c r="X359" s="44">
        <v>58934.440754339346</v>
      </c>
      <c r="Y359" s="44">
        <v>57256.34158878505</v>
      </c>
      <c r="Z359" s="44">
        <v>27537.907309746362</v>
      </c>
      <c r="AA359" s="44">
        <v>0</v>
      </c>
      <c r="AB359" s="44">
        <v>11133.943099999997</v>
      </c>
      <c r="AC359" s="44">
        <v>0</v>
      </c>
      <c r="AD359" s="44">
        <v>12790.593500188344</v>
      </c>
      <c r="AE359" s="44">
        <v>0</v>
      </c>
      <c r="AF359" s="44">
        <v>0</v>
      </c>
      <c r="AG359" s="44">
        <v>138243.54</v>
      </c>
      <c r="AH359" s="44">
        <v>0</v>
      </c>
      <c r="AI359" s="44">
        <v>0</v>
      </c>
      <c r="AJ359" s="44">
        <v>0</v>
      </c>
      <c r="AK359" s="44">
        <v>32523.300599999999</v>
      </c>
      <c r="AL359" s="44">
        <v>0</v>
      </c>
      <c r="AM359" s="44">
        <v>0</v>
      </c>
      <c r="AN359" s="44">
        <v>0</v>
      </c>
      <c r="AO359" s="44">
        <v>0</v>
      </c>
      <c r="AP359" s="44">
        <v>0</v>
      </c>
      <c r="AQ359" s="44">
        <v>0</v>
      </c>
      <c r="AR359" s="44">
        <v>0</v>
      </c>
      <c r="AS359" s="44">
        <v>0</v>
      </c>
      <c r="AT359" s="44">
        <v>3972093.2699999996</v>
      </c>
      <c r="AU359" s="44">
        <v>510629.26999177749</v>
      </c>
      <c r="AV359" s="44">
        <v>170766.8406</v>
      </c>
      <c r="AW359" s="44">
        <v>454747.62369598291</v>
      </c>
      <c r="AX359" s="62">
        <v>4653489.3805917772</v>
      </c>
      <c r="AY359" s="62">
        <v>4620966.0799917774</v>
      </c>
      <c r="AZ359" s="62">
        <v>5995</v>
      </c>
      <c r="BA359" s="62">
        <v>4496250</v>
      </c>
      <c r="BB359" s="62">
        <v>0</v>
      </c>
      <c r="BC359" s="62">
        <v>0</v>
      </c>
      <c r="BD359" s="62">
        <v>4653489.3805917772</v>
      </c>
      <c r="BE359" s="44">
        <v>0</v>
      </c>
      <c r="BF359" s="44">
        <v>4653489.3805917772</v>
      </c>
      <c r="BG359" s="62">
        <v>4528773.3005999997</v>
      </c>
      <c r="BH359" s="62">
        <v>4358006.46</v>
      </c>
      <c r="BI359" s="44">
        <v>4482722.5399917774</v>
      </c>
      <c r="BJ359" s="44">
        <v>5976.9633866557033</v>
      </c>
      <c r="BK359" s="44">
        <v>5848.7513498666667</v>
      </c>
      <c r="BL359" s="45">
        <v>2.1921266458345749E-2</v>
      </c>
      <c r="BM359" s="45">
        <v>0</v>
      </c>
      <c r="BN359" s="44">
        <v>0</v>
      </c>
      <c r="BO359" s="62">
        <v>4653489.3805917772</v>
      </c>
      <c r="BP359" s="62">
        <v>6161.2881066557029</v>
      </c>
      <c r="BQ359" s="62" t="s">
        <v>92</v>
      </c>
      <c r="BR359" s="62">
        <v>6204.652507455703</v>
      </c>
      <c r="BS359" s="53">
        <v>2.380550426962591E-2</v>
      </c>
      <c r="BT359" s="44">
        <v>0</v>
      </c>
      <c r="BU359" s="44">
        <v>4653489.3805917772</v>
      </c>
      <c r="BV359" s="44">
        <v>0</v>
      </c>
      <c r="BW359" s="44">
        <v>4653489.3805917772</v>
      </c>
      <c r="BX359" s="44">
        <v>32523.300599999999</v>
      </c>
      <c r="BY359" s="44">
        <v>4620966.0799917774</v>
      </c>
    </row>
    <row r="360" spans="1:77">
      <c r="A360">
        <v>0</v>
      </c>
      <c r="B360" s="60">
        <v>143435</v>
      </c>
      <c r="C360" s="60">
        <v>3305403</v>
      </c>
      <c r="D360" s="61" t="s">
        <v>1065</v>
      </c>
      <c r="E360" s="52">
        <v>1172</v>
      </c>
      <c r="F360" s="52">
        <v>0</v>
      </c>
      <c r="G360" s="52">
        <v>1172</v>
      </c>
      <c r="H360" s="44">
        <v>0</v>
      </c>
      <c r="I360" s="44">
        <v>2943142.2848</v>
      </c>
      <c r="J360" s="44">
        <v>3340351.6188000003</v>
      </c>
      <c r="K360" s="44">
        <v>0</v>
      </c>
      <c r="L360" s="44">
        <v>291098.18080000015</v>
      </c>
      <c r="M360" s="44">
        <v>0</v>
      </c>
      <c r="N360" s="44">
        <v>809230.46400000039</v>
      </c>
      <c r="O360" s="44">
        <v>0</v>
      </c>
      <c r="P360" s="44">
        <v>0</v>
      </c>
      <c r="Q360" s="44">
        <v>0</v>
      </c>
      <c r="R360" s="44">
        <v>0</v>
      </c>
      <c r="S360" s="44">
        <v>0</v>
      </c>
      <c r="T360" s="44">
        <v>0</v>
      </c>
      <c r="U360" s="44">
        <v>56638.104400000113</v>
      </c>
      <c r="V360" s="44">
        <v>49222.16550000001</v>
      </c>
      <c r="W360" s="44">
        <v>85348.525499999858</v>
      </c>
      <c r="X360" s="44">
        <v>108017.81640000036</v>
      </c>
      <c r="Y360" s="44">
        <v>210155.06420000014</v>
      </c>
      <c r="Z360" s="44">
        <v>87245.154800000062</v>
      </c>
      <c r="AA360" s="44">
        <v>0</v>
      </c>
      <c r="AB360" s="44">
        <v>252602.18665591819</v>
      </c>
      <c r="AC360" s="44">
        <v>0</v>
      </c>
      <c r="AD360" s="44">
        <v>586667.47112490644</v>
      </c>
      <c r="AE360" s="44">
        <v>0</v>
      </c>
      <c r="AF360" s="44">
        <v>187239.31639460812</v>
      </c>
      <c r="AG360" s="44">
        <v>138243.54</v>
      </c>
      <c r="AH360" s="44">
        <v>0</v>
      </c>
      <c r="AI360" s="44">
        <v>0</v>
      </c>
      <c r="AJ360" s="44">
        <v>0</v>
      </c>
      <c r="AK360" s="44">
        <v>22047.870999999999</v>
      </c>
      <c r="AL360" s="44">
        <v>0</v>
      </c>
      <c r="AM360" s="44">
        <v>0</v>
      </c>
      <c r="AN360" s="44">
        <v>0</v>
      </c>
      <c r="AO360" s="44">
        <v>0</v>
      </c>
      <c r="AP360" s="44">
        <v>0</v>
      </c>
      <c r="AQ360" s="44">
        <v>0</v>
      </c>
      <c r="AR360" s="44">
        <v>0</v>
      </c>
      <c r="AS360" s="44">
        <v>0</v>
      </c>
      <c r="AT360" s="44">
        <v>6283493.9035999998</v>
      </c>
      <c r="AU360" s="44">
        <v>2723464.4497754336</v>
      </c>
      <c r="AV360" s="44">
        <v>160291.41100000002</v>
      </c>
      <c r="AW360" s="44">
        <v>1749319.9041049071</v>
      </c>
      <c r="AX360" s="62">
        <v>9167249.7643754333</v>
      </c>
      <c r="AY360" s="62">
        <v>9145201.893375434</v>
      </c>
      <c r="AZ360" s="62">
        <v>5995</v>
      </c>
      <c r="BA360" s="62">
        <v>7026140</v>
      </c>
      <c r="BB360" s="62">
        <v>0</v>
      </c>
      <c r="BC360" s="62">
        <v>0</v>
      </c>
      <c r="BD360" s="62">
        <v>9167249.7643754333</v>
      </c>
      <c r="BE360" s="44">
        <v>0</v>
      </c>
      <c r="BF360" s="44">
        <v>9167249.7643754352</v>
      </c>
      <c r="BG360" s="62">
        <v>7048187.8710000003</v>
      </c>
      <c r="BH360" s="62">
        <v>6887896.46</v>
      </c>
      <c r="BI360" s="44">
        <v>9006958.3533754349</v>
      </c>
      <c r="BJ360" s="44">
        <v>7685.1180489551489</v>
      </c>
      <c r="BK360" s="44">
        <v>7554.7829482428133</v>
      </c>
      <c r="BL360" s="45">
        <v>1.725199805278993E-2</v>
      </c>
      <c r="BM360" s="45">
        <v>0</v>
      </c>
      <c r="BN360" s="44">
        <v>0</v>
      </c>
      <c r="BO360" s="62">
        <v>9167249.7643754333</v>
      </c>
      <c r="BP360" s="62">
        <v>7803.0732878629979</v>
      </c>
      <c r="BQ360" s="62" t="s">
        <v>92</v>
      </c>
      <c r="BR360" s="62">
        <v>7821.8854644841585</v>
      </c>
      <c r="BS360" s="53">
        <v>1.7094497196380454E-2</v>
      </c>
      <c r="BT360" s="44">
        <v>0</v>
      </c>
      <c r="BU360" s="44">
        <v>9167249.7643754333</v>
      </c>
      <c r="BV360" s="44">
        <v>0</v>
      </c>
      <c r="BW360" s="44">
        <v>9167249.7643754333</v>
      </c>
      <c r="BX360" s="44">
        <v>22047.870999999999</v>
      </c>
      <c r="BY360" s="44">
        <v>9145201.893375434</v>
      </c>
    </row>
    <row r="361" spans="1:77">
      <c r="A361">
        <v>0</v>
      </c>
      <c r="B361" s="60">
        <v>137047</v>
      </c>
      <c r="C361" s="60">
        <v>3305404</v>
      </c>
      <c r="D361" s="61" t="s">
        <v>1066</v>
      </c>
      <c r="E361" s="52">
        <v>923</v>
      </c>
      <c r="F361" s="52">
        <v>0</v>
      </c>
      <c r="G361" s="52">
        <v>923</v>
      </c>
      <c r="H361" s="44">
        <v>0</v>
      </c>
      <c r="I361" s="44">
        <v>2887706.3856000002</v>
      </c>
      <c r="J361" s="44">
        <v>1988304.5350000001</v>
      </c>
      <c r="K361" s="44">
        <v>0</v>
      </c>
      <c r="L361" s="44">
        <v>82608.943200000052</v>
      </c>
      <c r="M361" s="44">
        <v>0</v>
      </c>
      <c r="N361" s="44">
        <v>216758.1600000005</v>
      </c>
      <c r="O361" s="44">
        <v>0</v>
      </c>
      <c r="P361" s="44">
        <v>0</v>
      </c>
      <c r="Q361" s="44">
        <v>0</v>
      </c>
      <c r="R361" s="44">
        <v>0</v>
      </c>
      <c r="S361" s="44">
        <v>0</v>
      </c>
      <c r="T361" s="44">
        <v>0</v>
      </c>
      <c r="U361" s="44">
        <v>34119.340000000113</v>
      </c>
      <c r="V361" s="44">
        <v>60963.232500000144</v>
      </c>
      <c r="W361" s="44">
        <v>72704.299500000052</v>
      </c>
      <c r="X361" s="44">
        <v>81013.362300000197</v>
      </c>
      <c r="Y361" s="44">
        <v>71289.350399999952</v>
      </c>
      <c r="Z361" s="44">
        <v>36984.359100000031</v>
      </c>
      <c r="AA361" s="44">
        <v>0</v>
      </c>
      <c r="AB361" s="44">
        <v>15940.172919652487</v>
      </c>
      <c r="AC361" s="44">
        <v>0</v>
      </c>
      <c r="AD361" s="44">
        <v>3290.2687564566645</v>
      </c>
      <c r="AE361" s="44">
        <v>0</v>
      </c>
      <c r="AF361" s="44">
        <v>0</v>
      </c>
      <c r="AG361" s="44">
        <v>138243.54</v>
      </c>
      <c r="AH361" s="44">
        <v>0</v>
      </c>
      <c r="AI361" s="44">
        <v>0</v>
      </c>
      <c r="AJ361" s="44">
        <v>0</v>
      </c>
      <c r="AK361" s="44">
        <v>23637.861400000002</v>
      </c>
      <c r="AL361" s="44">
        <v>0</v>
      </c>
      <c r="AM361" s="44">
        <v>0</v>
      </c>
      <c r="AN361" s="44">
        <v>0</v>
      </c>
      <c r="AO361" s="44">
        <v>0</v>
      </c>
      <c r="AP361" s="44">
        <v>0</v>
      </c>
      <c r="AQ361" s="44">
        <v>0</v>
      </c>
      <c r="AR361" s="44">
        <v>0</v>
      </c>
      <c r="AS361" s="44">
        <v>0</v>
      </c>
      <c r="AT361" s="44">
        <v>4876010.9206000008</v>
      </c>
      <c r="AU361" s="44">
        <v>675671.48867611028</v>
      </c>
      <c r="AV361" s="44">
        <v>161881.4014</v>
      </c>
      <c r="AW361" s="44">
        <v>575311.33828645723</v>
      </c>
      <c r="AX361" s="62">
        <v>5713563.8106761109</v>
      </c>
      <c r="AY361" s="62">
        <v>5689925.9492761111</v>
      </c>
      <c r="AZ361" s="62">
        <v>5995</v>
      </c>
      <c r="BA361" s="62">
        <v>5533385</v>
      </c>
      <c r="BB361" s="62">
        <v>0</v>
      </c>
      <c r="BC361" s="62">
        <v>0</v>
      </c>
      <c r="BD361" s="62">
        <v>5713563.8106761109</v>
      </c>
      <c r="BE361" s="44">
        <v>0</v>
      </c>
      <c r="BF361" s="44">
        <v>5713563.810676109</v>
      </c>
      <c r="BG361" s="62">
        <v>5557022.8613999998</v>
      </c>
      <c r="BH361" s="62">
        <v>5395141.46</v>
      </c>
      <c r="BI361" s="44">
        <v>5551682.4092761111</v>
      </c>
      <c r="BJ361" s="44">
        <v>6014.8238453695676</v>
      </c>
      <c r="BK361" s="44">
        <v>5880.0721096520756</v>
      </c>
      <c r="BL361" s="45">
        <v>2.2916680816940743E-2</v>
      </c>
      <c r="BM361" s="45">
        <v>0</v>
      </c>
      <c r="BN361" s="44">
        <v>0</v>
      </c>
      <c r="BO361" s="62">
        <v>5713563.8106761109</v>
      </c>
      <c r="BP361" s="62">
        <v>6164.6001617292641</v>
      </c>
      <c r="BQ361" s="62" t="s">
        <v>92</v>
      </c>
      <c r="BR361" s="62">
        <v>6190.2099790640423</v>
      </c>
      <c r="BS361" s="53">
        <v>2.1612903303057429E-2</v>
      </c>
      <c r="BT361" s="44">
        <v>0</v>
      </c>
      <c r="BU361" s="44">
        <v>5713563.8106761109</v>
      </c>
      <c r="BV361" s="44">
        <v>0</v>
      </c>
      <c r="BW361" s="44">
        <v>5713563.8106761109</v>
      </c>
      <c r="BX361" s="44">
        <v>23637.861400000002</v>
      </c>
      <c r="BY361" s="44">
        <v>5689925.9492761111</v>
      </c>
    </row>
    <row r="362" spans="1:77">
      <c r="A362">
        <v>0</v>
      </c>
      <c r="B362" s="60">
        <v>137046</v>
      </c>
      <c r="C362" s="60">
        <v>3305405</v>
      </c>
      <c r="D362" s="61" t="s">
        <v>1067</v>
      </c>
      <c r="E362" s="52">
        <v>896</v>
      </c>
      <c r="F362" s="52">
        <v>0</v>
      </c>
      <c r="G362" s="52">
        <v>896</v>
      </c>
      <c r="H362" s="44">
        <v>0</v>
      </c>
      <c r="I362" s="44">
        <v>2701240.1792000001</v>
      </c>
      <c r="J362" s="44">
        <v>2045113.236</v>
      </c>
      <c r="K362" s="44">
        <v>0</v>
      </c>
      <c r="L362" s="44">
        <v>76216.584499999823</v>
      </c>
      <c r="M362" s="44">
        <v>0</v>
      </c>
      <c r="N362" s="44">
        <v>213145.52400000012</v>
      </c>
      <c r="O362" s="44">
        <v>0</v>
      </c>
      <c r="P362" s="44">
        <v>0</v>
      </c>
      <c r="Q362" s="44">
        <v>0</v>
      </c>
      <c r="R362" s="44">
        <v>0</v>
      </c>
      <c r="S362" s="44">
        <v>0</v>
      </c>
      <c r="T362" s="44">
        <v>0</v>
      </c>
      <c r="U362" s="44">
        <v>22202.350408938561</v>
      </c>
      <c r="V362" s="44">
        <v>23960.455079329622</v>
      </c>
      <c r="W362" s="44">
        <v>46202.990737877117</v>
      </c>
      <c r="X362" s="44">
        <v>41591.733345251399</v>
      </c>
      <c r="Y362" s="44">
        <v>74342.711776536322</v>
      </c>
      <c r="Z362" s="44">
        <v>42721.941237988867</v>
      </c>
      <c r="AA362" s="44">
        <v>0</v>
      </c>
      <c r="AB362" s="44">
        <v>15959.067377379573</v>
      </c>
      <c r="AC362" s="44">
        <v>0</v>
      </c>
      <c r="AD362" s="44">
        <v>3610.5679271048989</v>
      </c>
      <c r="AE362" s="44">
        <v>0</v>
      </c>
      <c r="AF362" s="44">
        <v>0</v>
      </c>
      <c r="AG362" s="44">
        <v>138243.54</v>
      </c>
      <c r="AH362" s="44">
        <v>0</v>
      </c>
      <c r="AI362" s="44">
        <v>0</v>
      </c>
      <c r="AJ362" s="44">
        <v>0</v>
      </c>
      <c r="AK362" s="44">
        <v>20897.144700000001</v>
      </c>
      <c r="AL362" s="44">
        <v>0</v>
      </c>
      <c r="AM362" s="44">
        <v>0</v>
      </c>
      <c r="AN362" s="44">
        <v>0</v>
      </c>
      <c r="AO362" s="44">
        <v>0</v>
      </c>
      <c r="AP362" s="44">
        <v>0</v>
      </c>
      <c r="AQ362" s="44">
        <v>0</v>
      </c>
      <c r="AR362" s="44">
        <v>0</v>
      </c>
      <c r="AS362" s="44">
        <v>0</v>
      </c>
      <c r="AT362" s="44">
        <v>4746353.4152000006</v>
      </c>
      <c r="AU362" s="44">
        <v>559953.92639040633</v>
      </c>
      <c r="AV362" s="44">
        <v>159140.68470000001</v>
      </c>
      <c r="AW362" s="44">
        <v>511120.38423006586</v>
      </c>
      <c r="AX362" s="62">
        <v>5465448.0262904074</v>
      </c>
      <c r="AY362" s="62">
        <v>5444550.8815904073</v>
      </c>
      <c r="AZ362" s="62">
        <v>5995</v>
      </c>
      <c r="BA362" s="62">
        <v>5371520</v>
      </c>
      <c r="BB362" s="62">
        <v>0</v>
      </c>
      <c r="BC362" s="62">
        <v>0</v>
      </c>
      <c r="BD362" s="62">
        <v>5465448.0262904074</v>
      </c>
      <c r="BE362" s="44">
        <v>0</v>
      </c>
      <c r="BF362" s="44">
        <v>5465448.0262904065</v>
      </c>
      <c r="BG362" s="62">
        <v>5392417.1447000001</v>
      </c>
      <c r="BH362" s="62">
        <v>5233276.46</v>
      </c>
      <c r="BI362" s="44">
        <v>5306307.3415904073</v>
      </c>
      <c r="BJ362" s="44">
        <v>5922.2180151678649</v>
      </c>
      <c r="BK362" s="44">
        <v>5798.7924740823137</v>
      </c>
      <c r="BL362" s="45">
        <v>2.1284697053257438E-2</v>
      </c>
      <c r="BM362" s="45">
        <v>0</v>
      </c>
      <c r="BN362" s="44">
        <v>0</v>
      </c>
      <c r="BO362" s="62">
        <v>5465448.0262904074</v>
      </c>
      <c r="BP362" s="62">
        <v>6076.5076803464372</v>
      </c>
      <c r="BQ362" s="62" t="s">
        <v>92</v>
      </c>
      <c r="BR362" s="62">
        <v>6099.8303864848294</v>
      </c>
      <c r="BS362" s="53">
        <v>2.0363584744429453E-2</v>
      </c>
      <c r="BT362" s="44">
        <v>0</v>
      </c>
      <c r="BU362" s="44">
        <v>5465448.0262904074</v>
      </c>
      <c r="BV362" s="44">
        <v>0</v>
      </c>
      <c r="BW362" s="44">
        <v>5465448.0262904074</v>
      </c>
      <c r="BX362" s="44">
        <v>20897.144700000001</v>
      </c>
      <c r="BY362" s="44">
        <v>5444550.8815904073</v>
      </c>
    </row>
    <row r="363" spans="1:77">
      <c r="A363">
        <v>0</v>
      </c>
      <c r="B363" s="60">
        <v>137044</v>
      </c>
      <c r="C363" s="60">
        <v>3305406</v>
      </c>
      <c r="D363" s="61" t="s">
        <v>1068</v>
      </c>
      <c r="E363" s="52">
        <v>749</v>
      </c>
      <c r="F363" s="52">
        <v>0</v>
      </c>
      <c r="G363" s="52">
        <v>749</v>
      </c>
      <c r="H363" s="44">
        <v>0</v>
      </c>
      <c r="I363" s="44">
        <v>2267832.2399999998</v>
      </c>
      <c r="J363" s="44">
        <v>1698580.1599000001</v>
      </c>
      <c r="K363" s="44">
        <v>0</v>
      </c>
      <c r="L363" s="44">
        <v>93918.500899999912</v>
      </c>
      <c r="M363" s="44">
        <v>0</v>
      </c>
      <c r="N363" s="44">
        <v>236025.55199999982</v>
      </c>
      <c r="O363" s="44">
        <v>0</v>
      </c>
      <c r="P363" s="44">
        <v>0</v>
      </c>
      <c r="Q363" s="44">
        <v>0</v>
      </c>
      <c r="R363" s="44">
        <v>0</v>
      </c>
      <c r="S363" s="44">
        <v>0</v>
      </c>
      <c r="T363" s="44">
        <v>0</v>
      </c>
      <c r="U363" s="44">
        <v>18790.724750000005</v>
      </c>
      <c r="V363" s="44">
        <v>43409.588727272792</v>
      </c>
      <c r="W363" s="44">
        <v>33551.994620454527</v>
      </c>
      <c r="X363" s="44">
        <v>37440.77027727275</v>
      </c>
      <c r="Y363" s="44">
        <v>52051.312409090933</v>
      </c>
      <c r="Z363" s="44">
        <v>28487.541100267415</v>
      </c>
      <c r="AA363" s="44">
        <v>0</v>
      </c>
      <c r="AB363" s="44">
        <v>12775.677337265377</v>
      </c>
      <c r="AC363" s="44">
        <v>0</v>
      </c>
      <c r="AD363" s="44">
        <v>2238.9806294744949</v>
      </c>
      <c r="AE363" s="44">
        <v>0</v>
      </c>
      <c r="AF363" s="44">
        <v>0</v>
      </c>
      <c r="AG363" s="44">
        <v>138243.54</v>
      </c>
      <c r="AH363" s="44">
        <v>0</v>
      </c>
      <c r="AI363" s="44">
        <v>0</v>
      </c>
      <c r="AJ363" s="44">
        <v>0</v>
      </c>
      <c r="AK363" s="44">
        <v>15672.6448</v>
      </c>
      <c r="AL363" s="44">
        <v>0</v>
      </c>
      <c r="AM363" s="44">
        <v>0</v>
      </c>
      <c r="AN363" s="44">
        <v>0</v>
      </c>
      <c r="AO363" s="44">
        <v>0</v>
      </c>
      <c r="AP363" s="44">
        <v>0</v>
      </c>
      <c r="AQ363" s="44">
        <v>0</v>
      </c>
      <c r="AR363" s="44">
        <v>0</v>
      </c>
      <c r="AS363" s="44">
        <v>0</v>
      </c>
      <c r="AT363" s="44">
        <v>3966412.3998999996</v>
      </c>
      <c r="AU363" s="44">
        <v>558690.64275109791</v>
      </c>
      <c r="AV363" s="44">
        <v>153916.18480000002</v>
      </c>
      <c r="AW363" s="44">
        <v>472397.59301665367</v>
      </c>
      <c r="AX363" s="62">
        <v>4679019.2274510972</v>
      </c>
      <c r="AY363" s="62">
        <v>4663346.5826510973</v>
      </c>
      <c r="AZ363" s="62">
        <v>5995</v>
      </c>
      <c r="BA363" s="62">
        <v>4490255</v>
      </c>
      <c r="BB363" s="62">
        <v>0</v>
      </c>
      <c r="BC363" s="62">
        <v>0</v>
      </c>
      <c r="BD363" s="62">
        <v>4679019.2274510972</v>
      </c>
      <c r="BE363" s="44">
        <v>0</v>
      </c>
      <c r="BF363" s="44">
        <v>4679019.2274510982</v>
      </c>
      <c r="BG363" s="62">
        <v>4505927.6447999999</v>
      </c>
      <c r="BH363" s="62">
        <v>4352011.46</v>
      </c>
      <c r="BI363" s="44">
        <v>4525103.0426510973</v>
      </c>
      <c r="BJ363" s="44">
        <v>6041.526091657006</v>
      </c>
      <c r="BK363" s="44">
        <v>5885.8409773761714</v>
      </c>
      <c r="BL363" s="45">
        <v>2.645078500748705E-2</v>
      </c>
      <c r="BM363" s="45">
        <v>0</v>
      </c>
      <c r="BN363" s="44">
        <v>0</v>
      </c>
      <c r="BO363" s="62">
        <v>4679019.2274510972</v>
      </c>
      <c r="BP363" s="62">
        <v>6226.0969060762318</v>
      </c>
      <c r="BQ363" s="62" t="s">
        <v>92</v>
      </c>
      <c r="BR363" s="62">
        <v>6247.0216654887818</v>
      </c>
      <c r="BS363" s="53">
        <v>2.44267199432886E-2</v>
      </c>
      <c r="BT363" s="44">
        <v>0</v>
      </c>
      <c r="BU363" s="44">
        <v>4679019.2274510972</v>
      </c>
      <c r="BV363" s="44">
        <v>0</v>
      </c>
      <c r="BW363" s="44">
        <v>4679019.2274510972</v>
      </c>
      <c r="BX363" s="44">
        <v>15672.6448</v>
      </c>
      <c r="BY363" s="44">
        <v>4663346.5826510973</v>
      </c>
    </row>
    <row r="364" spans="1:77">
      <c r="A364">
        <v>0</v>
      </c>
      <c r="B364" s="60">
        <v>137045</v>
      </c>
      <c r="C364" s="60">
        <v>3305407</v>
      </c>
      <c r="D364" s="61" t="s">
        <v>1069</v>
      </c>
      <c r="E364" s="52">
        <v>686</v>
      </c>
      <c r="F364" s="52">
        <v>0</v>
      </c>
      <c r="G364" s="52">
        <v>686</v>
      </c>
      <c r="H364" s="44">
        <v>0</v>
      </c>
      <c r="I364" s="44">
        <v>2111603.7968000001</v>
      </c>
      <c r="J364" s="44">
        <v>1516792.3167000001</v>
      </c>
      <c r="K364" s="44">
        <v>0</v>
      </c>
      <c r="L364" s="44">
        <v>81133.783500000034</v>
      </c>
      <c r="M364" s="44">
        <v>0</v>
      </c>
      <c r="N364" s="44">
        <v>213145.52399999977</v>
      </c>
      <c r="O364" s="44">
        <v>0</v>
      </c>
      <c r="P364" s="44">
        <v>0</v>
      </c>
      <c r="Q364" s="44">
        <v>0</v>
      </c>
      <c r="R364" s="44">
        <v>0</v>
      </c>
      <c r="S364" s="44">
        <v>0</v>
      </c>
      <c r="T364" s="44">
        <v>0</v>
      </c>
      <c r="U364" s="44">
        <v>19448.02380000001</v>
      </c>
      <c r="V364" s="44">
        <v>45157.950000000128</v>
      </c>
      <c r="W364" s="44">
        <v>29713.931100000005</v>
      </c>
      <c r="X364" s="44">
        <v>47084.689200000015</v>
      </c>
      <c r="Y364" s="44">
        <v>35644.67520000002</v>
      </c>
      <c r="Z364" s="44">
        <v>18018.021100000031</v>
      </c>
      <c r="AA364" s="44">
        <v>0</v>
      </c>
      <c r="AB364" s="44">
        <v>15905.633000000045</v>
      </c>
      <c r="AC364" s="44">
        <v>0</v>
      </c>
      <c r="AD364" s="44">
        <v>2223.867845443358</v>
      </c>
      <c r="AE364" s="44">
        <v>0</v>
      </c>
      <c r="AF364" s="44">
        <v>0</v>
      </c>
      <c r="AG364" s="44">
        <v>138243.54</v>
      </c>
      <c r="AH364" s="44">
        <v>0</v>
      </c>
      <c r="AI364" s="44">
        <v>0</v>
      </c>
      <c r="AJ364" s="44">
        <v>0</v>
      </c>
      <c r="AK364" s="44">
        <v>13249.92</v>
      </c>
      <c r="AL364" s="44">
        <v>0</v>
      </c>
      <c r="AM364" s="44">
        <v>0</v>
      </c>
      <c r="AN364" s="44">
        <v>0</v>
      </c>
      <c r="AO364" s="44">
        <v>0</v>
      </c>
      <c r="AP364" s="44">
        <v>0</v>
      </c>
      <c r="AQ364" s="44">
        <v>0</v>
      </c>
      <c r="AR364" s="44">
        <v>0</v>
      </c>
      <c r="AS364" s="44">
        <v>0</v>
      </c>
      <c r="AT364" s="44">
        <v>3628396.1135</v>
      </c>
      <c r="AU364" s="44">
        <v>507476.09874544339</v>
      </c>
      <c r="AV364" s="44">
        <v>151493.46000000002</v>
      </c>
      <c r="AW364" s="44">
        <v>428316.97247044335</v>
      </c>
      <c r="AX364" s="62">
        <v>4287365.6722454438</v>
      </c>
      <c r="AY364" s="62">
        <v>4274115.7522454439</v>
      </c>
      <c r="AZ364" s="62">
        <v>5995</v>
      </c>
      <c r="BA364" s="62">
        <v>4112570</v>
      </c>
      <c r="BB364" s="62">
        <v>0</v>
      </c>
      <c r="BC364" s="62">
        <v>0</v>
      </c>
      <c r="BD364" s="62">
        <v>4287365.6722454438</v>
      </c>
      <c r="BE364" s="44">
        <v>0</v>
      </c>
      <c r="BF364" s="44">
        <v>4287365.6722454438</v>
      </c>
      <c r="BG364" s="62">
        <v>4125819.92</v>
      </c>
      <c r="BH364" s="62">
        <v>3974326.46</v>
      </c>
      <c r="BI364" s="44">
        <v>4135872.2122454438</v>
      </c>
      <c r="BJ364" s="44">
        <v>6028.9682394248448</v>
      </c>
      <c r="BK364" s="44">
        <v>5936.0199054545446</v>
      </c>
      <c r="BL364" s="45">
        <v>1.5658359549113193E-2</v>
      </c>
      <c r="BM364" s="45">
        <v>0</v>
      </c>
      <c r="BN364" s="44">
        <v>0</v>
      </c>
      <c r="BO364" s="62">
        <v>4287365.6722454438</v>
      </c>
      <c r="BP364" s="62">
        <v>6230.4894347601221</v>
      </c>
      <c r="BQ364" s="62" t="s">
        <v>92</v>
      </c>
      <c r="BR364" s="62">
        <v>6249.8041869467115</v>
      </c>
      <c r="BS364" s="53">
        <v>1.3174860766855589E-2</v>
      </c>
      <c r="BT364" s="44">
        <v>0</v>
      </c>
      <c r="BU364" s="44">
        <v>4287365.6722454438</v>
      </c>
      <c r="BV364" s="44">
        <v>0</v>
      </c>
      <c r="BW364" s="44">
        <v>4287365.6722454438</v>
      </c>
      <c r="BX364" s="44">
        <v>13249.92</v>
      </c>
      <c r="BY364" s="44">
        <v>4274115.7522454439</v>
      </c>
    </row>
    <row r="365" spans="1:77">
      <c r="A365">
        <v>0</v>
      </c>
      <c r="B365" s="60">
        <v>137043</v>
      </c>
      <c r="C365" s="60">
        <v>3305408</v>
      </c>
      <c r="D365" s="61" t="s">
        <v>1070</v>
      </c>
      <c r="E365" s="52">
        <v>700</v>
      </c>
      <c r="F365" s="52">
        <v>0</v>
      </c>
      <c r="G365" s="52">
        <v>700</v>
      </c>
      <c r="H365" s="44">
        <v>0</v>
      </c>
      <c r="I365" s="44">
        <v>2116643.4240000001</v>
      </c>
      <c r="J365" s="44">
        <v>1590643.628</v>
      </c>
      <c r="K365" s="44">
        <v>0</v>
      </c>
      <c r="L365" s="44">
        <v>68349.066100000156</v>
      </c>
      <c r="M365" s="44">
        <v>0</v>
      </c>
      <c r="N365" s="44">
        <v>187857.07200000013</v>
      </c>
      <c r="O365" s="44">
        <v>0</v>
      </c>
      <c r="P365" s="44">
        <v>0</v>
      </c>
      <c r="Q365" s="44">
        <v>0</v>
      </c>
      <c r="R365" s="44">
        <v>0</v>
      </c>
      <c r="S365" s="44">
        <v>0</v>
      </c>
      <c r="T365" s="44">
        <v>0</v>
      </c>
      <c r="U365" s="44">
        <v>22550.980085836909</v>
      </c>
      <c r="V365" s="44">
        <v>40700.298283261822</v>
      </c>
      <c r="W365" s="44">
        <v>46217.449828326047</v>
      </c>
      <c r="X365" s="44">
        <v>61020.299055793766</v>
      </c>
      <c r="Y365" s="44">
        <v>83289.894363376094</v>
      </c>
      <c r="Z365" s="44">
        <v>18043.797954220296</v>
      </c>
      <c r="AA365" s="44">
        <v>0</v>
      </c>
      <c r="AB365" s="44">
        <v>14397.340215517217</v>
      </c>
      <c r="AC365" s="44">
        <v>0</v>
      </c>
      <c r="AD365" s="44">
        <v>12936.341805080207</v>
      </c>
      <c r="AE365" s="44">
        <v>0</v>
      </c>
      <c r="AF365" s="44">
        <v>0</v>
      </c>
      <c r="AG365" s="44">
        <v>138243.54</v>
      </c>
      <c r="AH365" s="44">
        <v>0</v>
      </c>
      <c r="AI365" s="44">
        <v>0</v>
      </c>
      <c r="AJ365" s="44">
        <v>0</v>
      </c>
      <c r="AK365" s="44">
        <v>15475.904500000001</v>
      </c>
      <c r="AL365" s="44">
        <v>0</v>
      </c>
      <c r="AM365" s="44">
        <v>0</v>
      </c>
      <c r="AN365" s="44">
        <v>0</v>
      </c>
      <c r="AO365" s="44">
        <v>0</v>
      </c>
      <c r="AP365" s="44">
        <v>0</v>
      </c>
      <c r="AQ365" s="44">
        <v>0</v>
      </c>
      <c r="AR365" s="44">
        <v>0</v>
      </c>
      <c r="AS365" s="44">
        <v>0</v>
      </c>
      <c r="AT365" s="44">
        <v>3707287.0520000001</v>
      </c>
      <c r="AU365" s="44">
        <v>555362.53969141259</v>
      </c>
      <c r="AV365" s="44">
        <v>153719.44450000001</v>
      </c>
      <c r="AW365" s="44">
        <v>462315.12324048782</v>
      </c>
      <c r="AX365" s="62">
        <v>4416369.0361914132</v>
      </c>
      <c r="AY365" s="62">
        <v>4400893.131691413</v>
      </c>
      <c r="AZ365" s="62">
        <v>5995</v>
      </c>
      <c r="BA365" s="62">
        <v>4196500</v>
      </c>
      <c r="BB365" s="62">
        <v>0</v>
      </c>
      <c r="BC365" s="62">
        <v>0</v>
      </c>
      <c r="BD365" s="62">
        <v>4416369.0361914132</v>
      </c>
      <c r="BE365" s="44">
        <v>0</v>
      </c>
      <c r="BF365" s="44">
        <v>4416369.0361914122</v>
      </c>
      <c r="BG365" s="62">
        <v>4211975.9045000002</v>
      </c>
      <c r="BH365" s="62">
        <v>4058256.46</v>
      </c>
      <c r="BI365" s="44">
        <v>4262649.591691413</v>
      </c>
      <c r="BJ365" s="44">
        <v>6089.4994167020186</v>
      </c>
      <c r="BK365" s="44">
        <v>6007.3829536585372</v>
      </c>
      <c r="BL365" s="45">
        <v>1.3669257258432632E-2</v>
      </c>
      <c r="BM365" s="45">
        <v>0</v>
      </c>
      <c r="BN365" s="44">
        <v>0</v>
      </c>
      <c r="BO365" s="62">
        <v>4416369.0361914132</v>
      </c>
      <c r="BP365" s="62">
        <v>6286.9901881305896</v>
      </c>
      <c r="BQ365" s="62" t="s">
        <v>92</v>
      </c>
      <c r="BR365" s="62">
        <v>6309.0986231305906</v>
      </c>
      <c r="BS365" s="53">
        <v>1.3643343383573869E-2</v>
      </c>
      <c r="BT365" s="44">
        <v>0</v>
      </c>
      <c r="BU365" s="44">
        <v>4416369.0361914132</v>
      </c>
      <c r="BV365" s="44">
        <v>0</v>
      </c>
      <c r="BW365" s="44">
        <v>4416369.0361914132</v>
      </c>
      <c r="BX365" s="44">
        <v>15475.904500000001</v>
      </c>
      <c r="BY365" s="44">
        <v>4400893.131691413</v>
      </c>
    </row>
    <row r="366" spans="1:77">
      <c r="A366">
        <v>0</v>
      </c>
      <c r="B366" s="60">
        <v>137858</v>
      </c>
      <c r="C366" s="60">
        <v>3305409</v>
      </c>
      <c r="D366" s="61" t="s">
        <v>1071</v>
      </c>
      <c r="E366" s="52">
        <v>919</v>
      </c>
      <c r="F366" s="52">
        <v>0</v>
      </c>
      <c r="G366" s="52">
        <v>919</v>
      </c>
      <c r="H366" s="44">
        <v>0</v>
      </c>
      <c r="I366" s="44">
        <v>2766755.3328</v>
      </c>
      <c r="J366" s="44">
        <v>2101921.9369999999</v>
      </c>
      <c r="K366" s="44">
        <v>0</v>
      </c>
      <c r="L366" s="44">
        <v>163742.72670000017</v>
      </c>
      <c r="M366" s="44">
        <v>0</v>
      </c>
      <c r="N366" s="44">
        <v>435924.7440000003</v>
      </c>
      <c r="O366" s="44">
        <v>0</v>
      </c>
      <c r="P366" s="44">
        <v>0</v>
      </c>
      <c r="Q366" s="44">
        <v>0</v>
      </c>
      <c r="R366" s="44">
        <v>0</v>
      </c>
      <c r="S366" s="44">
        <v>0</v>
      </c>
      <c r="T366" s="44">
        <v>0</v>
      </c>
      <c r="U366" s="44">
        <v>35181.202248147994</v>
      </c>
      <c r="V366" s="44">
        <v>111209.56849999986</v>
      </c>
      <c r="W366" s="44">
        <v>39239.798966666684</v>
      </c>
      <c r="X366" s="44">
        <v>42976.922677777802</v>
      </c>
      <c r="Y366" s="44">
        <v>23045.596218518527</v>
      </c>
      <c r="Z366" s="44">
        <v>5696.0995496732021</v>
      </c>
      <c r="AA366" s="44">
        <v>0</v>
      </c>
      <c r="AB366" s="44">
        <v>56097.004983004328</v>
      </c>
      <c r="AC366" s="44">
        <v>0</v>
      </c>
      <c r="AD366" s="44">
        <v>369605.4414510749</v>
      </c>
      <c r="AE366" s="44">
        <v>0</v>
      </c>
      <c r="AF366" s="44">
        <v>0</v>
      </c>
      <c r="AG366" s="44">
        <v>138243.54</v>
      </c>
      <c r="AH366" s="44">
        <v>0</v>
      </c>
      <c r="AI366" s="44">
        <v>0</v>
      </c>
      <c r="AJ366" s="44">
        <v>0</v>
      </c>
      <c r="AK366" s="44">
        <v>30474.815999999999</v>
      </c>
      <c r="AL366" s="44">
        <v>0</v>
      </c>
      <c r="AM366" s="44">
        <v>0</v>
      </c>
      <c r="AN366" s="44">
        <v>0</v>
      </c>
      <c r="AO366" s="44">
        <v>0</v>
      </c>
      <c r="AP366" s="44">
        <v>0</v>
      </c>
      <c r="AQ366" s="44">
        <v>0</v>
      </c>
      <c r="AR366" s="44">
        <v>0</v>
      </c>
      <c r="AS366" s="44">
        <v>0</v>
      </c>
      <c r="AT366" s="44">
        <v>4868677.2697999999</v>
      </c>
      <c r="AU366" s="44">
        <v>1282719.1052948637</v>
      </c>
      <c r="AV366" s="44">
        <v>168718.356</v>
      </c>
      <c r="AW366" s="44">
        <v>1041547.6343714672</v>
      </c>
      <c r="AX366" s="62">
        <v>6320114.7310948633</v>
      </c>
      <c r="AY366" s="62">
        <v>6289639.9150948636</v>
      </c>
      <c r="AZ366" s="62">
        <v>5995</v>
      </c>
      <c r="BA366" s="62">
        <v>5509405</v>
      </c>
      <c r="BB366" s="62">
        <v>0</v>
      </c>
      <c r="BC366" s="62">
        <v>0</v>
      </c>
      <c r="BD366" s="62">
        <v>6320114.7310948633</v>
      </c>
      <c r="BE366" s="44">
        <v>0</v>
      </c>
      <c r="BF366" s="44">
        <v>6320114.7310948633</v>
      </c>
      <c r="BG366" s="62">
        <v>5539879.8159999996</v>
      </c>
      <c r="BH366" s="62">
        <v>5371161.46</v>
      </c>
      <c r="BI366" s="44">
        <v>6151396.3750948636</v>
      </c>
      <c r="BJ366" s="44">
        <v>6693.5760338355421</v>
      </c>
      <c r="BK366" s="44">
        <v>6583.6955733624445</v>
      </c>
      <c r="BL366" s="45">
        <v>1.6689784521275966E-2</v>
      </c>
      <c r="BM366" s="45">
        <v>0</v>
      </c>
      <c r="BN366" s="44">
        <v>0</v>
      </c>
      <c r="BO366" s="62">
        <v>6320114.7310948633</v>
      </c>
      <c r="BP366" s="62">
        <v>6844.0042601685136</v>
      </c>
      <c r="BQ366" s="62" t="s">
        <v>92</v>
      </c>
      <c r="BR366" s="62">
        <v>6877.1651045645958</v>
      </c>
      <c r="BS366" s="53">
        <v>1.868541993826689E-2</v>
      </c>
      <c r="BT366" s="44">
        <v>0</v>
      </c>
      <c r="BU366" s="44">
        <v>6320114.7310948633</v>
      </c>
      <c r="BV366" s="44">
        <v>0</v>
      </c>
      <c r="BW366" s="44">
        <v>6320114.7310948633</v>
      </c>
      <c r="BX366" s="44">
        <v>30474.815999999999</v>
      </c>
      <c r="BY366" s="44">
        <v>6289639.9150948636</v>
      </c>
    </row>
    <row r="367" spans="1:77">
      <c r="A367">
        <v>0</v>
      </c>
      <c r="B367" s="60">
        <v>136908</v>
      </c>
      <c r="C367" s="60">
        <v>3305410</v>
      </c>
      <c r="D367" s="61" t="s">
        <v>1072</v>
      </c>
      <c r="E367" s="52">
        <v>1322</v>
      </c>
      <c r="F367" s="52">
        <v>0</v>
      </c>
      <c r="G367" s="52">
        <v>1322</v>
      </c>
      <c r="H367" s="44">
        <v>0</v>
      </c>
      <c r="I367" s="44">
        <v>3971226.2335999999</v>
      </c>
      <c r="J367" s="44">
        <v>3033584.6334000002</v>
      </c>
      <c r="K367" s="44">
        <v>0</v>
      </c>
      <c r="L367" s="44">
        <v>126372.0143000003</v>
      </c>
      <c r="M367" s="44">
        <v>0</v>
      </c>
      <c r="N367" s="44">
        <v>348017.26799999992</v>
      </c>
      <c r="O367" s="44">
        <v>0</v>
      </c>
      <c r="P367" s="44">
        <v>0</v>
      </c>
      <c r="Q367" s="44">
        <v>0</v>
      </c>
      <c r="R367" s="44">
        <v>0</v>
      </c>
      <c r="S367" s="44">
        <v>0</v>
      </c>
      <c r="T367" s="44">
        <v>0</v>
      </c>
      <c r="U367" s="44">
        <v>34512.746329393929</v>
      </c>
      <c r="V367" s="44">
        <v>28040.350104545472</v>
      </c>
      <c r="W367" s="44">
        <v>4432.1843713636335</v>
      </c>
      <c r="X367" s="44">
        <v>146322.38608318198</v>
      </c>
      <c r="Y367" s="44">
        <v>17849.341141818197</v>
      </c>
      <c r="Z367" s="44">
        <v>15196.059900606033</v>
      </c>
      <c r="AA367" s="44">
        <v>0</v>
      </c>
      <c r="AB367" s="44">
        <v>47753.020800908424</v>
      </c>
      <c r="AC367" s="44">
        <v>0</v>
      </c>
      <c r="AD367" s="44">
        <v>421787.61651430855</v>
      </c>
      <c r="AE367" s="44">
        <v>0</v>
      </c>
      <c r="AF367" s="44">
        <v>0</v>
      </c>
      <c r="AG367" s="44">
        <v>138243.54</v>
      </c>
      <c r="AH367" s="44">
        <v>0</v>
      </c>
      <c r="AI367" s="44">
        <v>0</v>
      </c>
      <c r="AJ367" s="44">
        <v>0</v>
      </c>
      <c r="AK367" s="44">
        <v>26499.84</v>
      </c>
      <c r="AL367" s="44">
        <v>0</v>
      </c>
      <c r="AM367" s="44">
        <v>0</v>
      </c>
      <c r="AN367" s="44">
        <v>0</v>
      </c>
      <c r="AO367" s="44">
        <v>0</v>
      </c>
      <c r="AP367" s="44">
        <v>0</v>
      </c>
      <c r="AQ367" s="44">
        <v>0</v>
      </c>
      <c r="AR367" s="44">
        <v>0</v>
      </c>
      <c r="AS367" s="44">
        <v>0</v>
      </c>
      <c r="AT367" s="44">
        <v>7004810.8670000006</v>
      </c>
      <c r="AU367" s="44">
        <v>1190282.9875461264</v>
      </c>
      <c r="AV367" s="44">
        <v>164743.38</v>
      </c>
      <c r="AW367" s="44">
        <v>1132399.3349797633</v>
      </c>
      <c r="AX367" s="62">
        <v>8359837.2345461268</v>
      </c>
      <c r="AY367" s="62">
        <v>8333337.3945461269</v>
      </c>
      <c r="AZ367" s="62">
        <v>5995</v>
      </c>
      <c r="BA367" s="62">
        <v>7925390</v>
      </c>
      <c r="BB367" s="62">
        <v>0</v>
      </c>
      <c r="BC367" s="62">
        <v>0</v>
      </c>
      <c r="BD367" s="62">
        <v>8359837.2345461268</v>
      </c>
      <c r="BE367" s="44">
        <v>0</v>
      </c>
      <c r="BF367" s="44">
        <v>8359837.2345461259</v>
      </c>
      <c r="BG367" s="62">
        <v>7951889.8399999999</v>
      </c>
      <c r="BH367" s="62">
        <v>7787146.46</v>
      </c>
      <c r="BI367" s="44">
        <v>8195093.8545461269</v>
      </c>
      <c r="BJ367" s="44">
        <v>6199.0119928488102</v>
      </c>
      <c r="BK367" s="44">
        <v>6081.0735115107009</v>
      </c>
      <c r="BL367" s="45">
        <v>1.9394352183848256E-2</v>
      </c>
      <c r="BM367" s="45">
        <v>0</v>
      </c>
      <c r="BN367" s="44">
        <v>0</v>
      </c>
      <c r="BO367" s="62">
        <v>8359837.2345461268</v>
      </c>
      <c r="BP367" s="62">
        <v>6303.583505708114</v>
      </c>
      <c r="BQ367" s="62" t="s">
        <v>92</v>
      </c>
      <c r="BR367" s="62">
        <v>6323.628770458492</v>
      </c>
      <c r="BS367" s="53">
        <v>1.8529244470664175E-2</v>
      </c>
      <c r="BT367" s="44">
        <v>0</v>
      </c>
      <c r="BU367" s="44">
        <v>8359837.2345461268</v>
      </c>
      <c r="BV367" s="44">
        <v>0</v>
      </c>
      <c r="BW367" s="44">
        <v>8359837.2345461268</v>
      </c>
      <c r="BX367" s="44">
        <v>26499.84</v>
      </c>
      <c r="BY367" s="44">
        <v>8333337.3945461269</v>
      </c>
    </row>
    <row r="368" spans="1:77">
      <c r="A368">
        <v>0</v>
      </c>
      <c r="B368" s="60">
        <v>136406</v>
      </c>
      <c r="C368" s="60">
        <v>3305411</v>
      </c>
      <c r="D368" s="61" t="s">
        <v>1073</v>
      </c>
      <c r="E368" s="52">
        <v>1492</v>
      </c>
      <c r="F368" s="52">
        <v>0</v>
      </c>
      <c r="G368" s="52">
        <v>1492</v>
      </c>
      <c r="H368" s="44">
        <v>0</v>
      </c>
      <c r="I368" s="44">
        <v>4520545.5983999996</v>
      </c>
      <c r="J368" s="44">
        <v>3380117.7094999999</v>
      </c>
      <c r="K368" s="44">
        <v>0</v>
      </c>
      <c r="L368" s="44">
        <v>339778.45089999994</v>
      </c>
      <c r="M368" s="44">
        <v>0</v>
      </c>
      <c r="N368" s="44">
        <v>877870.54799999925</v>
      </c>
      <c r="O368" s="44">
        <v>0</v>
      </c>
      <c r="P368" s="44">
        <v>0</v>
      </c>
      <c r="Q368" s="44">
        <v>0</v>
      </c>
      <c r="R368" s="44">
        <v>0</v>
      </c>
      <c r="S368" s="44">
        <v>0</v>
      </c>
      <c r="T368" s="44">
        <v>0</v>
      </c>
      <c r="U368" s="44">
        <v>69355.229676778501</v>
      </c>
      <c r="V368" s="44">
        <v>157812.79079597309</v>
      </c>
      <c r="W368" s="44">
        <v>75334.128786845613</v>
      </c>
      <c r="X368" s="44">
        <v>237819.50460161056</v>
      </c>
      <c r="Y368" s="44">
        <v>165821.50103248283</v>
      </c>
      <c r="Z368" s="44">
        <v>20890.975788993233</v>
      </c>
      <c r="AA368" s="44">
        <v>0</v>
      </c>
      <c r="AB368" s="44">
        <v>100272.69480000008</v>
      </c>
      <c r="AC368" s="44">
        <v>0</v>
      </c>
      <c r="AD368" s="44">
        <v>678614.09544934391</v>
      </c>
      <c r="AE368" s="44">
        <v>0</v>
      </c>
      <c r="AF368" s="44">
        <v>0</v>
      </c>
      <c r="AG368" s="44">
        <v>138243.54</v>
      </c>
      <c r="AH368" s="44">
        <v>0</v>
      </c>
      <c r="AI368" s="44">
        <v>0</v>
      </c>
      <c r="AJ368" s="44">
        <v>0</v>
      </c>
      <c r="AK368" s="44">
        <v>19734.470399999998</v>
      </c>
      <c r="AL368" s="44">
        <v>0</v>
      </c>
      <c r="AM368" s="44">
        <v>0</v>
      </c>
      <c r="AN368" s="44">
        <v>0</v>
      </c>
      <c r="AO368" s="44">
        <v>0</v>
      </c>
      <c r="AP368" s="44">
        <v>0</v>
      </c>
      <c r="AQ368" s="44">
        <v>0</v>
      </c>
      <c r="AR368" s="44">
        <v>0</v>
      </c>
      <c r="AS368" s="44">
        <v>0</v>
      </c>
      <c r="AT368" s="44">
        <v>7900663.3078999994</v>
      </c>
      <c r="AU368" s="44">
        <v>2723569.9198320271</v>
      </c>
      <c r="AV368" s="44">
        <v>157978.0104</v>
      </c>
      <c r="AW368" s="44">
        <v>2045988.8256356856</v>
      </c>
      <c r="AX368" s="62">
        <v>10782211.238132026</v>
      </c>
      <c r="AY368" s="62">
        <v>10762476.767732026</v>
      </c>
      <c r="AZ368" s="62">
        <v>5995</v>
      </c>
      <c r="BA368" s="62">
        <v>8944540</v>
      </c>
      <c r="BB368" s="62">
        <v>0</v>
      </c>
      <c r="BC368" s="62">
        <v>0</v>
      </c>
      <c r="BD368" s="62">
        <v>10782211.238132026</v>
      </c>
      <c r="BE368" s="44">
        <v>0</v>
      </c>
      <c r="BF368" s="44">
        <v>10782211.238132026</v>
      </c>
      <c r="BG368" s="62">
        <v>8964274.4704</v>
      </c>
      <c r="BH368" s="62">
        <v>8806296.4600000009</v>
      </c>
      <c r="BI368" s="44">
        <v>10624233.227732027</v>
      </c>
      <c r="BJ368" s="44">
        <v>7120.7997504906343</v>
      </c>
      <c r="BK368" s="44">
        <v>7087.0248889487884</v>
      </c>
      <c r="BL368" s="45">
        <v>4.7657320343989489E-3</v>
      </c>
      <c r="BM368" s="45">
        <v>2.3426796560105118E-4</v>
      </c>
      <c r="BN368" s="44">
        <v>2477.1122511238882</v>
      </c>
      <c r="BO368" s="62">
        <v>10784688.350383149</v>
      </c>
      <c r="BP368" s="62">
        <v>7215.1165415436662</v>
      </c>
      <c r="BQ368" s="62" t="s">
        <v>92</v>
      </c>
      <c r="BR368" s="62">
        <v>7228.3433983801269</v>
      </c>
      <c r="BS368" s="53">
        <v>4.2828039655142813E-3</v>
      </c>
      <c r="BT368" s="44">
        <v>0</v>
      </c>
      <c r="BU368" s="44">
        <v>10784688.350383149</v>
      </c>
      <c r="BV368" s="44">
        <v>0</v>
      </c>
      <c r="BW368" s="44">
        <v>10784688.350383149</v>
      </c>
      <c r="BX368" s="44">
        <v>19734.470399999998</v>
      </c>
      <c r="BY368" s="44">
        <v>10764953.879983149</v>
      </c>
    </row>
    <row r="369" spans="1:77">
      <c r="A369">
        <v>0</v>
      </c>
      <c r="B369" s="60">
        <v>138695</v>
      </c>
      <c r="C369" s="60">
        <v>3305412</v>
      </c>
      <c r="D369" s="61" t="s">
        <v>1074</v>
      </c>
      <c r="E369" s="52">
        <v>907</v>
      </c>
      <c r="F369" s="52">
        <v>0</v>
      </c>
      <c r="G369" s="52">
        <v>907</v>
      </c>
      <c r="H369" s="44">
        <v>0</v>
      </c>
      <c r="I369" s="44">
        <v>2691160.9248000002</v>
      </c>
      <c r="J369" s="44">
        <v>2118964.5473000002</v>
      </c>
      <c r="K369" s="44">
        <v>0</v>
      </c>
      <c r="L369" s="44">
        <v>250777.14899999986</v>
      </c>
      <c r="M369" s="44">
        <v>0</v>
      </c>
      <c r="N369" s="44">
        <v>674358.72</v>
      </c>
      <c r="O369" s="44">
        <v>0</v>
      </c>
      <c r="P369" s="44">
        <v>0</v>
      </c>
      <c r="Q369" s="44">
        <v>0</v>
      </c>
      <c r="R369" s="44">
        <v>0</v>
      </c>
      <c r="S369" s="44">
        <v>0</v>
      </c>
      <c r="T369" s="44">
        <v>0</v>
      </c>
      <c r="U369" s="44">
        <v>20951.395384905663</v>
      </c>
      <c r="V369" s="44">
        <v>83643.950716981053</v>
      </c>
      <c r="W369" s="44">
        <v>56005.08004528303</v>
      </c>
      <c r="X369" s="44">
        <v>69006.259341509591</v>
      </c>
      <c r="Y369" s="44">
        <v>145023.25561509407</v>
      </c>
      <c r="Z369" s="44">
        <v>139376.27140044369</v>
      </c>
      <c r="AA369" s="44">
        <v>0</v>
      </c>
      <c r="AB369" s="44">
        <v>175499.84322310312</v>
      </c>
      <c r="AC369" s="44">
        <v>0</v>
      </c>
      <c r="AD369" s="44">
        <v>560063.22539546795</v>
      </c>
      <c r="AE369" s="44">
        <v>0</v>
      </c>
      <c r="AF369" s="44">
        <v>0</v>
      </c>
      <c r="AG369" s="44">
        <v>138243.54</v>
      </c>
      <c r="AH369" s="44">
        <v>0</v>
      </c>
      <c r="AI369" s="44">
        <v>0</v>
      </c>
      <c r="AJ369" s="44">
        <v>0</v>
      </c>
      <c r="AK369" s="44">
        <v>21941.863399999998</v>
      </c>
      <c r="AL369" s="44">
        <v>0</v>
      </c>
      <c r="AM369" s="44">
        <v>0</v>
      </c>
      <c r="AN369" s="44">
        <v>0</v>
      </c>
      <c r="AO369" s="44">
        <v>0</v>
      </c>
      <c r="AP369" s="44">
        <v>0</v>
      </c>
      <c r="AQ369" s="44">
        <v>0</v>
      </c>
      <c r="AR369" s="44">
        <v>0</v>
      </c>
      <c r="AS369" s="44">
        <v>0</v>
      </c>
      <c r="AT369" s="44">
        <v>4810125.4721000008</v>
      </c>
      <c r="AU369" s="44">
        <v>2174705.1501227878</v>
      </c>
      <c r="AV369" s="44">
        <v>160185.40340000001</v>
      </c>
      <c r="AW369" s="44">
        <v>1520140.5397525765</v>
      </c>
      <c r="AX369" s="62">
        <v>7145016.0256227888</v>
      </c>
      <c r="AY369" s="62">
        <v>7123074.1622227887</v>
      </c>
      <c r="AZ369" s="62">
        <v>5995</v>
      </c>
      <c r="BA369" s="62">
        <v>5437465</v>
      </c>
      <c r="BB369" s="62">
        <v>0</v>
      </c>
      <c r="BC369" s="62">
        <v>0</v>
      </c>
      <c r="BD369" s="62">
        <v>7145016.0256227888</v>
      </c>
      <c r="BE369" s="44">
        <v>0</v>
      </c>
      <c r="BF369" s="44">
        <v>7145016.0256227888</v>
      </c>
      <c r="BG369" s="62">
        <v>5459406.8634000001</v>
      </c>
      <c r="BH369" s="62">
        <v>5299221.46</v>
      </c>
      <c r="BI369" s="44">
        <v>6984830.6222227886</v>
      </c>
      <c r="BJ369" s="44">
        <v>7701.0260443470661</v>
      </c>
      <c r="BK369" s="44">
        <v>7730.0137740174678</v>
      </c>
      <c r="BL369" s="45">
        <v>-3.7500230294332426E-3</v>
      </c>
      <c r="BM369" s="45">
        <v>8.7500230294332432E-3</v>
      </c>
      <c r="BN369" s="44">
        <v>61347.483276223538</v>
      </c>
      <c r="BO369" s="62">
        <v>7206363.5088990126</v>
      </c>
      <c r="BP369" s="62">
        <v>7921.0822993373895</v>
      </c>
      <c r="BQ369" s="62" t="s">
        <v>92</v>
      </c>
      <c r="BR369" s="62">
        <v>7945.2739899658354</v>
      </c>
      <c r="BS369" s="53">
        <v>5.495248847822598E-3</v>
      </c>
      <c r="BT369" s="44">
        <v>0</v>
      </c>
      <c r="BU369" s="44">
        <v>7206363.5088990126</v>
      </c>
      <c r="BV369" s="44">
        <v>0</v>
      </c>
      <c r="BW369" s="44">
        <v>7206363.5088990126</v>
      </c>
      <c r="BX369" s="44">
        <v>21941.863399999998</v>
      </c>
      <c r="BY369" s="44">
        <v>7184421.6454990124</v>
      </c>
    </row>
    <row r="370" spans="1:77">
      <c r="A370">
        <v>0</v>
      </c>
      <c r="B370" s="60">
        <v>136590</v>
      </c>
      <c r="C370" s="60">
        <v>3305414</v>
      </c>
      <c r="D370" s="61" t="s">
        <v>1075</v>
      </c>
      <c r="E370" s="52">
        <v>804</v>
      </c>
      <c r="F370" s="52">
        <v>0</v>
      </c>
      <c r="G370" s="52">
        <v>804</v>
      </c>
      <c r="H370" s="44">
        <v>0</v>
      </c>
      <c r="I370" s="44">
        <v>2449258.8191999998</v>
      </c>
      <c r="J370" s="44">
        <v>1806516.6918000001</v>
      </c>
      <c r="K370" s="44">
        <v>0</v>
      </c>
      <c r="L370" s="44">
        <v>91951.621300000028</v>
      </c>
      <c r="M370" s="44">
        <v>0</v>
      </c>
      <c r="N370" s="44">
        <v>257701.36800000028</v>
      </c>
      <c r="O370" s="44">
        <v>0</v>
      </c>
      <c r="P370" s="44">
        <v>0</v>
      </c>
      <c r="Q370" s="44">
        <v>0</v>
      </c>
      <c r="R370" s="44">
        <v>0</v>
      </c>
      <c r="S370" s="44">
        <v>0</v>
      </c>
      <c r="T370" s="44">
        <v>0</v>
      </c>
      <c r="U370" s="44">
        <v>8198.8391611457027</v>
      </c>
      <c r="V370" s="44">
        <v>46570.612146948974</v>
      </c>
      <c r="W370" s="44">
        <v>30383.933361892905</v>
      </c>
      <c r="X370" s="44">
        <v>17332.104844333746</v>
      </c>
      <c r="Y370" s="44">
        <v>49815.985981569102</v>
      </c>
      <c r="Z370" s="44">
        <v>50323.386977334994</v>
      </c>
      <c r="AA370" s="44">
        <v>0</v>
      </c>
      <c r="AB370" s="44">
        <v>46414.986111138925</v>
      </c>
      <c r="AC370" s="44">
        <v>0</v>
      </c>
      <c r="AD370" s="44">
        <v>217695.58485749061</v>
      </c>
      <c r="AE370" s="44">
        <v>0</v>
      </c>
      <c r="AF370" s="44">
        <v>0</v>
      </c>
      <c r="AG370" s="44">
        <v>138243.54</v>
      </c>
      <c r="AH370" s="44">
        <v>0</v>
      </c>
      <c r="AI370" s="44">
        <v>0</v>
      </c>
      <c r="AJ370" s="44">
        <v>0</v>
      </c>
      <c r="AK370" s="44">
        <v>47434.713600000003</v>
      </c>
      <c r="AL370" s="44">
        <v>0</v>
      </c>
      <c r="AM370" s="44">
        <v>0</v>
      </c>
      <c r="AN370" s="44">
        <v>0</v>
      </c>
      <c r="AO370" s="44">
        <v>0</v>
      </c>
      <c r="AP370" s="44">
        <v>0</v>
      </c>
      <c r="AQ370" s="44">
        <v>0</v>
      </c>
      <c r="AR370" s="44">
        <v>0</v>
      </c>
      <c r="AS370" s="44">
        <v>0</v>
      </c>
      <c r="AT370" s="44">
        <v>4255775.5109999999</v>
      </c>
      <c r="AU370" s="44">
        <v>816388.42274185526</v>
      </c>
      <c r="AV370" s="44">
        <v>185678.2536</v>
      </c>
      <c r="AW370" s="44">
        <v>706623.28629410348</v>
      </c>
      <c r="AX370" s="62">
        <v>5257842.1873418558</v>
      </c>
      <c r="AY370" s="62">
        <v>5210407.4737418555</v>
      </c>
      <c r="AZ370" s="62">
        <v>5995</v>
      </c>
      <c r="BA370" s="62">
        <v>4819980</v>
      </c>
      <c r="BB370" s="62">
        <v>0</v>
      </c>
      <c r="BC370" s="62">
        <v>0</v>
      </c>
      <c r="BD370" s="62">
        <v>5257842.1873418558</v>
      </c>
      <c r="BE370" s="44">
        <v>0</v>
      </c>
      <c r="BF370" s="44">
        <v>5257842.1873418558</v>
      </c>
      <c r="BG370" s="62">
        <v>4867414.7136000004</v>
      </c>
      <c r="BH370" s="62">
        <v>4681736.46</v>
      </c>
      <c r="BI370" s="44">
        <v>5072163.9337418554</v>
      </c>
      <c r="BJ370" s="44">
        <v>6308.661609131661</v>
      </c>
      <c r="BK370" s="44">
        <v>6169.753809261576</v>
      </c>
      <c r="BL370" s="45">
        <v>2.2514318101569456E-2</v>
      </c>
      <c r="BM370" s="45">
        <v>0</v>
      </c>
      <c r="BN370" s="44">
        <v>0</v>
      </c>
      <c r="BO370" s="62">
        <v>5257842.1873418558</v>
      </c>
      <c r="BP370" s="62">
        <v>6480.6063106241982</v>
      </c>
      <c r="BQ370" s="62" t="s">
        <v>92</v>
      </c>
      <c r="BR370" s="62">
        <v>6539.6047106241986</v>
      </c>
      <c r="BS370" s="53">
        <v>2.6716398420168153E-2</v>
      </c>
      <c r="BT370" s="44">
        <v>0</v>
      </c>
      <c r="BU370" s="44">
        <v>5257842.1873418558</v>
      </c>
      <c r="BV370" s="44">
        <v>0</v>
      </c>
      <c r="BW370" s="44">
        <v>5257842.1873418558</v>
      </c>
      <c r="BX370" s="44">
        <v>47434.713600000003</v>
      </c>
      <c r="BY370" s="44">
        <v>5210407.4737418555</v>
      </c>
    </row>
    <row r="371" spans="1:77">
      <c r="A371">
        <v>0</v>
      </c>
      <c r="B371" s="60">
        <v>135907</v>
      </c>
      <c r="C371" s="60">
        <v>3306905</v>
      </c>
      <c r="D371" s="61" t="s">
        <v>1076</v>
      </c>
      <c r="E371" s="52">
        <v>840</v>
      </c>
      <c r="F371" s="52">
        <v>0</v>
      </c>
      <c r="G371" s="52">
        <v>840</v>
      </c>
      <c r="H371" s="44">
        <v>0</v>
      </c>
      <c r="I371" s="44">
        <v>2565170.2448</v>
      </c>
      <c r="J371" s="44">
        <v>1880368.0031000001</v>
      </c>
      <c r="K371" s="44">
        <v>0</v>
      </c>
      <c r="L371" s="44">
        <v>241434.47090000019</v>
      </c>
      <c r="M371" s="44">
        <v>0</v>
      </c>
      <c r="N371" s="44">
        <v>631007.08800000022</v>
      </c>
      <c r="O371" s="44">
        <v>0</v>
      </c>
      <c r="P371" s="44">
        <v>0</v>
      </c>
      <c r="Q371" s="44">
        <v>0</v>
      </c>
      <c r="R371" s="44">
        <v>0</v>
      </c>
      <c r="S371" s="44">
        <v>0</v>
      </c>
      <c r="T371" s="44">
        <v>0</v>
      </c>
      <c r="U371" s="44">
        <v>2047.1603999999991</v>
      </c>
      <c r="V371" s="44">
        <v>11741.067000000017</v>
      </c>
      <c r="W371" s="44">
        <v>44254.790999999983</v>
      </c>
      <c r="X371" s="44">
        <v>111479.92590000021</v>
      </c>
      <c r="Y371" s="44">
        <v>418082.33619999985</v>
      </c>
      <c r="Z371" s="44">
        <v>6638.2182999999977</v>
      </c>
      <c r="AA371" s="44">
        <v>0</v>
      </c>
      <c r="AB371" s="44">
        <v>55669.715500000049</v>
      </c>
      <c r="AC371" s="44">
        <v>0</v>
      </c>
      <c r="AD371" s="44">
        <v>351049.00223593722</v>
      </c>
      <c r="AE371" s="44">
        <v>0</v>
      </c>
      <c r="AF371" s="44">
        <v>0</v>
      </c>
      <c r="AG371" s="44">
        <v>138243.54</v>
      </c>
      <c r="AH371" s="44">
        <v>0</v>
      </c>
      <c r="AI371" s="44">
        <v>0</v>
      </c>
      <c r="AJ371" s="44">
        <v>0</v>
      </c>
      <c r="AK371" s="44">
        <v>57416.2788</v>
      </c>
      <c r="AL371" s="44">
        <v>0</v>
      </c>
      <c r="AM371" s="44">
        <v>0</v>
      </c>
      <c r="AN371" s="44">
        <v>0</v>
      </c>
      <c r="AO371" s="44">
        <v>0</v>
      </c>
      <c r="AP371" s="44">
        <v>0</v>
      </c>
      <c r="AQ371" s="44">
        <v>0</v>
      </c>
      <c r="AR371" s="44">
        <v>0</v>
      </c>
      <c r="AS371" s="44">
        <v>0</v>
      </c>
      <c r="AT371" s="44">
        <v>4445538.2478999998</v>
      </c>
      <c r="AU371" s="44">
        <v>1873403.7754359378</v>
      </c>
      <c r="AV371" s="44">
        <v>195659.81880000001</v>
      </c>
      <c r="AW371" s="44">
        <v>1306668.4434809375</v>
      </c>
      <c r="AX371" s="62">
        <v>6514601.8421359379</v>
      </c>
      <c r="AY371" s="62">
        <v>6457185.5633359374</v>
      </c>
      <c r="AZ371" s="62">
        <v>5995</v>
      </c>
      <c r="BA371" s="62">
        <v>5035800</v>
      </c>
      <c r="BB371" s="62">
        <v>0</v>
      </c>
      <c r="BC371" s="62">
        <v>0</v>
      </c>
      <c r="BD371" s="62">
        <v>6514601.8421359379</v>
      </c>
      <c r="BE371" s="44">
        <v>0</v>
      </c>
      <c r="BF371" s="44">
        <v>6514601.8421359379</v>
      </c>
      <c r="BG371" s="62">
        <v>5093216.2788000004</v>
      </c>
      <c r="BH371" s="62">
        <v>4897556.46</v>
      </c>
      <c r="BI371" s="44">
        <v>6318942.0233359374</v>
      </c>
      <c r="BJ371" s="44">
        <v>7522.5500277808778</v>
      </c>
      <c r="BK371" s="44">
        <v>7416.4007273182951</v>
      </c>
      <c r="BL371" s="45">
        <v>1.4312778444074898E-2</v>
      </c>
      <c r="BM371" s="45">
        <v>0</v>
      </c>
      <c r="BN371" s="44">
        <v>0</v>
      </c>
      <c r="BO371" s="62">
        <v>6514601.8421359379</v>
      </c>
      <c r="BP371" s="62">
        <v>7687.1256706380209</v>
      </c>
      <c r="BQ371" s="62" t="s">
        <v>92</v>
      </c>
      <c r="BR371" s="62">
        <v>7755.4783834951641</v>
      </c>
      <c r="BS371" s="53">
        <v>1.4139470001907073E-2</v>
      </c>
      <c r="BT371" s="44">
        <v>0</v>
      </c>
      <c r="BU371" s="44">
        <v>6514601.8421359379</v>
      </c>
      <c r="BV371" s="44">
        <v>0</v>
      </c>
      <c r="BW371" s="44">
        <v>6514601.8421359379</v>
      </c>
      <c r="BX371" s="44">
        <v>57416.2788</v>
      </c>
      <c r="BY371" s="44">
        <v>6457185.5633359374</v>
      </c>
    </row>
    <row r="372" spans="1:77">
      <c r="A372">
        <v>0</v>
      </c>
      <c r="B372" s="60">
        <v>136152</v>
      </c>
      <c r="C372" s="60">
        <v>3306906</v>
      </c>
      <c r="D372" s="61" t="s">
        <v>1077</v>
      </c>
      <c r="E372" s="52">
        <v>1047</v>
      </c>
      <c r="F372" s="52">
        <v>0</v>
      </c>
      <c r="G372" s="52">
        <v>1047</v>
      </c>
      <c r="H372" s="44">
        <v>0</v>
      </c>
      <c r="I372" s="44">
        <v>3185044.3903999999</v>
      </c>
      <c r="J372" s="44">
        <v>2357561.0915000001</v>
      </c>
      <c r="K372" s="44">
        <v>0</v>
      </c>
      <c r="L372" s="44">
        <v>239467.59130000023</v>
      </c>
      <c r="M372" s="44">
        <v>0</v>
      </c>
      <c r="N372" s="44">
        <v>675562.93200000026</v>
      </c>
      <c r="O372" s="44">
        <v>0</v>
      </c>
      <c r="P372" s="44">
        <v>0</v>
      </c>
      <c r="Q372" s="44">
        <v>0</v>
      </c>
      <c r="R372" s="44">
        <v>0</v>
      </c>
      <c r="S372" s="44">
        <v>0</v>
      </c>
      <c r="T372" s="44">
        <v>0</v>
      </c>
      <c r="U372" s="44">
        <v>24224.731400000015</v>
      </c>
      <c r="V372" s="44">
        <v>27997.928999999996</v>
      </c>
      <c r="W372" s="44">
        <v>36036.044100000021</v>
      </c>
      <c r="X372" s="44">
        <v>84475.471800000028</v>
      </c>
      <c r="Y372" s="44">
        <v>335654.02479999996</v>
      </c>
      <c r="Z372" s="44">
        <v>130867.73219999979</v>
      </c>
      <c r="AA372" s="44">
        <v>0</v>
      </c>
      <c r="AB372" s="44">
        <v>44621.00832803821</v>
      </c>
      <c r="AC372" s="44">
        <v>0</v>
      </c>
      <c r="AD372" s="44">
        <v>447915.54873983969</v>
      </c>
      <c r="AE372" s="44">
        <v>0</v>
      </c>
      <c r="AF372" s="44">
        <v>0</v>
      </c>
      <c r="AG372" s="44">
        <v>138243.54</v>
      </c>
      <c r="AH372" s="44">
        <v>0</v>
      </c>
      <c r="AI372" s="44">
        <v>0</v>
      </c>
      <c r="AJ372" s="44">
        <v>0</v>
      </c>
      <c r="AK372" s="44">
        <v>55119.667200000004</v>
      </c>
      <c r="AL372" s="44">
        <v>0</v>
      </c>
      <c r="AM372" s="44">
        <v>0</v>
      </c>
      <c r="AN372" s="44">
        <v>0</v>
      </c>
      <c r="AO372" s="44">
        <v>0</v>
      </c>
      <c r="AP372" s="44">
        <v>0</v>
      </c>
      <c r="AQ372" s="44">
        <v>0</v>
      </c>
      <c r="AR372" s="44">
        <v>0</v>
      </c>
      <c r="AS372" s="44">
        <v>0</v>
      </c>
      <c r="AT372" s="44">
        <v>5542605.4819</v>
      </c>
      <c r="AU372" s="44">
        <v>2046823.0136678782</v>
      </c>
      <c r="AV372" s="44">
        <v>193363.2072</v>
      </c>
      <c r="AW372" s="44">
        <v>1502189.0511348397</v>
      </c>
      <c r="AX372" s="62">
        <v>7782791.7027678788</v>
      </c>
      <c r="AY372" s="62">
        <v>7727672.0355678787</v>
      </c>
      <c r="AZ372" s="62">
        <v>5995</v>
      </c>
      <c r="BA372" s="62">
        <v>6276765</v>
      </c>
      <c r="BB372" s="62">
        <v>0</v>
      </c>
      <c r="BC372" s="62">
        <v>0</v>
      </c>
      <c r="BD372" s="62">
        <v>7782791.7027678788</v>
      </c>
      <c r="BE372" s="44">
        <v>0</v>
      </c>
      <c r="BF372" s="44">
        <v>7782791.7027678769</v>
      </c>
      <c r="BG372" s="62">
        <v>6331884.6672</v>
      </c>
      <c r="BH372" s="62">
        <v>6138521.46</v>
      </c>
      <c r="BI372" s="44">
        <v>7589428.4955678787</v>
      </c>
      <c r="BJ372" s="44">
        <v>7248.7378181164077</v>
      </c>
      <c r="BK372" s="44">
        <v>7108.4020623800388</v>
      </c>
      <c r="BL372" s="45">
        <v>1.9742236652463847E-2</v>
      </c>
      <c r="BM372" s="45">
        <v>0</v>
      </c>
      <c r="BN372" s="44">
        <v>0</v>
      </c>
      <c r="BO372" s="62">
        <v>7782791.7027678788</v>
      </c>
      <c r="BP372" s="62">
        <v>7380.7755831593877</v>
      </c>
      <c r="BQ372" s="62" t="s">
        <v>92</v>
      </c>
      <c r="BR372" s="62">
        <v>7433.4209195490721</v>
      </c>
      <c r="BS372" s="53">
        <v>1.9034764457290132E-2</v>
      </c>
      <c r="BT372" s="44">
        <v>0</v>
      </c>
      <c r="BU372" s="44">
        <v>7782791.7027678788</v>
      </c>
      <c r="BV372" s="44">
        <v>0</v>
      </c>
      <c r="BW372" s="44">
        <v>7782791.7027678788</v>
      </c>
      <c r="BX372" s="44">
        <v>55119.667200000004</v>
      </c>
      <c r="BY372" s="44">
        <v>7727672.0355678787</v>
      </c>
    </row>
    <row r="373" spans="1:77">
      <c r="A373">
        <v>0</v>
      </c>
      <c r="B373" s="60">
        <v>135911</v>
      </c>
      <c r="C373" s="60">
        <v>3306907</v>
      </c>
      <c r="D373" s="61" t="s">
        <v>1078</v>
      </c>
      <c r="E373" s="52">
        <v>825</v>
      </c>
      <c r="F373" s="52">
        <v>0</v>
      </c>
      <c r="G373" s="52">
        <v>825</v>
      </c>
      <c r="H373" s="44">
        <v>0</v>
      </c>
      <c r="I373" s="44">
        <v>2534932.4816000001</v>
      </c>
      <c r="J373" s="44">
        <v>1829240.1721999999</v>
      </c>
      <c r="K373" s="44">
        <v>0</v>
      </c>
      <c r="L373" s="44">
        <v>226682.87390000012</v>
      </c>
      <c r="M373" s="44">
        <v>0</v>
      </c>
      <c r="N373" s="44">
        <v>597289.15199999977</v>
      </c>
      <c r="O373" s="44">
        <v>0</v>
      </c>
      <c r="P373" s="44">
        <v>0</v>
      </c>
      <c r="Q373" s="44">
        <v>0</v>
      </c>
      <c r="R373" s="44">
        <v>0</v>
      </c>
      <c r="S373" s="44">
        <v>0</v>
      </c>
      <c r="T373" s="44">
        <v>0</v>
      </c>
      <c r="U373" s="44">
        <v>2729.5472000000013</v>
      </c>
      <c r="V373" s="44">
        <v>5870.5335000000159</v>
      </c>
      <c r="W373" s="44">
        <v>41093.734500000006</v>
      </c>
      <c r="X373" s="44">
        <v>35313.516899999995</v>
      </c>
      <c r="Y373" s="44">
        <v>305207.53139999986</v>
      </c>
      <c r="Z373" s="44">
        <v>142247.53500000015</v>
      </c>
      <c r="AA373" s="44">
        <v>0</v>
      </c>
      <c r="AB373" s="44">
        <v>52552.288643810694</v>
      </c>
      <c r="AC373" s="44">
        <v>0</v>
      </c>
      <c r="AD373" s="44">
        <v>459770.51583515172</v>
      </c>
      <c r="AE373" s="44">
        <v>0</v>
      </c>
      <c r="AF373" s="44">
        <v>0</v>
      </c>
      <c r="AG373" s="44">
        <v>138243.54</v>
      </c>
      <c r="AH373" s="44">
        <v>0</v>
      </c>
      <c r="AI373" s="44">
        <v>0</v>
      </c>
      <c r="AJ373" s="44">
        <v>0</v>
      </c>
      <c r="AK373" s="44">
        <v>34592.292500000003</v>
      </c>
      <c r="AL373" s="44">
        <v>0</v>
      </c>
      <c r="AM373" s="44">
        <v>0</v>
      </c>
      <c r="AN373" s="44">
        <v>0</v>
      </c>
      <c r="AO373" s="44">
        <v>0</v>
      </c>
      <c r="AP373" s="44">
        <v>0</v>
      </c>
      <c r="AQ373" s="44">
        <v>0</v>
      </c>
      <c r="AR373" s="44">
        <v>0</v>
      </c>
      <c r="AS373" s="44">
        <v>0</v>
      </c>
      <c r="AT373" s="44">
        <v>4364172.6537999995</v>
      </c>
      <c r="AU373" s="44">
        <v>1868757.2288789623</v>
      </c>
      <c r="AV373" s="44">
        <v>172835.83250000002</v>
      </c>
      <c r="AW373" s="44">
        <v>1356196.3607251516</v>
      </c>
      <c r="AX373" s="62">
        <v>6405765.7151789609</v>
      </c>
      <c r="AY373" s="62">
        <v>6371173.4226789605</v>
      </c>
      <c r="AZ373" s="62">
        <v>5995</v>
      </c>
      <c r="BA373" s="62">
        <v>4945875</v>
      </c>
      <c r="BB373" s="62">
        <v>0</v>
      </c>
      <c r="BC373" s="62">
        <v>0</v>
      </c>
      <c r="BD373" s="62">
        <v>6405765.7151789609</v>
      </c>
      <c r="BE373" s="44">
        <v>0</v>
      </c>
      <c r="BF373" s="44">
        <v>6405765.7151789628</v>
      </c>
      <c r="BG373" s="62">
        <v>4980467.2925000004</v>
      </c>
      <c r="BH373" s="62">
        <v>4807631.46</v>
      </c>
      <c r="BI373" s="44">
        <v>6232929.8826789604</v>
      </c>
      <c r="BJ373" s="44">
        <v>7555.0665244593456</v>
      </c>
      <c r="BK373" s="44">
        <v>7470.6098594047617</v>
      </c>
      <c r="BL373" s="45">
        <v>1.1305190157703298E-2</v>
      </c>
      <c r="BM373" s="45">
        <v>0</v>
      </c>
      <c r="BN373" s="44">
        <v>0</v>
      </c>
      <c r="BO373" s="62">
        <v>6405765.7151789609</v>
      </c>
      <c r="BP373" s="62">
        <v>7722.6344517320731</v>
      </c>
      <c r="BQ373" s="62" t="s">
        <v>92</v>
      </c>
      <c r="BR373" s="62">
        <v>7764.5645032472257</v>
      </c>
      <c r="BS373" s="53">
        <v>8.5300020410576938E-3</v>
      </c>
      <c r="BT373" s="44">
        <v>0</v>
      </c>
      <c r="BU373" s="44">
        <v>6405765.7151789609</v>
      </c>
      <c r="BV373" s="44">
        <v>0</v>
      </c>
      <c r="BW373" s="44">
        <v>6405765.7151789609</v>
      </c>
      <c r="BX373" s="44">
        <v>34592.292500000003</v>
      </c>
      <c r="BY373" s="44">
        <v>6371173.4226789605</v>
      </c>
    </row>
    <row r="374" spans="1:77">
      <c r="A374">
        <v>0</v>
      </c>
      <c r="B374" s="60">
        <v>135970</v>
      </c>
      <c r="C374" s="60">
        <v>3306908</v>
      </c>
      <c r="D374" s="61" t="s">
        <v>1079</v>
      </c>
      <c r="E374" s="52">
        <v>714</v>
      </c>
      <c r="F374" s="52">
        <v>0</v>
      </c>
      <c r="G374" s="52">
        <v>714</v>
      </c>
      <c r="H374" s="44">
        <v>0</v>
      </c>
      <c r="I374" s="44">
        <v>1990652.7439999999</v>
      </c>
      <c r="J374" s="44">
        <v>1812197.5619000001</v>
      </c>
      <c r="K374" s="44">
        <v>0</v>
      </c>
      <c r="L374" s="44">
        <v>226682.87389999998</v>
      </c>
      <c r="M374" s="44">
        <v>0</v>
      </c>
      <c r="N374" s="44">
        <v>596084.94000000018</v>
      </c>
      <c r="O374" s="44">
        <v>0</v>
      </c>
      <c r="P374" s="44">
        <v>0</v>
      </c>
      <c r="Q374" s="44">
        <v>0</v>
      </c>
      <c r="R374" s="44">
        <v>0</v>
      </c>
      <c r="S374" s="44">
        <v>0</v>
      </c>
      <c r="T374" s="44">
        <v>0</v>
      </c>
      <c r="U374" s="44">
        <v>3753.1274000000012</v>
      </c>
      <c r="V374" s="44">
        <v>23933.713499999998</v>
      </c>
      <c r="W374" s="44">
        <v>82819.680299999876</v>
      </c>
      <c r="X374" s="44">
        <v>51239.220599999986</v>
      </c>
      <c r="Y374" s="44">
        <v>241344.15500000017</v>
      </c>
      <c r="Z374" s="44">
        <v>94831.690000000293</v>
      </c>
      <c r="AA374" s="44">
        <v>0</v>
      </c>
      <c r="AB374" s="44">
        <v>20823.143230747486</v>
      </c>
      <c r="AC374" s="44">
        <v>0</v>
      </c>
      <c r="AD374" s="44">
        <v>305466.78603285464</v>
      </c>
      <c r="AE374" s="44">
        <v>0</v>
      </c>
      <c r="AF374" s="44">
        <v>0</v>
      </c>
      <c r="AG374" s="44">
        <v>138243.54</v>
      </c>
      <c r="AH374" s="44">
        <v>0</v>
      </c>
      <c r="AI374" s="44">
        <v>0</v>
      </c>
      <c r="AJ374" s="44">
        <v>0</v>
      </c>
      <c r="AK374" s="44">
        <v>37099.775999999998</v>
      </c>
      <c r="AL374" s="44">
        <v>0</v>
      </c>
      <c r="AM374" s="44">
        <v>0</v>
      </c>
      <c r="AN374" s="44">
        <v>0</v>
      </c>
      <c r="AO374" s="44">
        <v>0</v>
      </c>
      <c r="AP374" s="44">
        <v>0</v>
      </c>
      <c r="AQ374" s="44">
        <v>0</v>
      </c>
      <c r="AR374" s="44">
        <v>0</v>
      </c>
      <c r="AS374" s="44">
        <v>0</v>
      </c>
      <c r="AT374" s="44">
        <v>3802850.3059</v>
      </c>
      <c r="AU374" s="44">
        <v>1646979.3299636026</v>
      </c>
      <c r="AV374" s="44">
        <v>175343.31599999999</v>
      </c>
      <c r="AW374" s="44">
        <v>1155954.0016778549</v>
      </c>
      <c r="AX374" s="62">
        <v>5625172.9518636018</v>
      </c>
      <c r="AY374" s="62">
        <v>5588073.1758636022</v>
      </c>
      <c r="AZ374" s="62">
        <v>5995</v>
      </c>
      <c r="BA374" s="62">
        <v>4280430</v>
      </c>
      <c r="BB374" s="62">
        <v>0</v>
      </c>
      <c r="BC374" s="62">
        <v>0</v>
      </c>
      <c r="BD374" s="62">
        <v>5625172.9518636018</v>
      </c>
      <c r="BE374" s="44">
        <v>0</v>
      </c>
      <c r="BF374" s="44">
        <v>5625172.9518636018</v>
      </c>
      <c r="BG374" s="62">
        <v>4317529.7759999996</v>
      </c>
      <c r="BH374" s="62">
        <v>4142186.4599999995</v>
      </c>
      <c r="BI374" s="44">
        <v>5449829.6358636022</v>
      </c>
      <c r="BJ374" s="44">
        <v>7632.8146160554652</v>
      </c>
      <c r="BK374" s="44">
        <v>7943.5202218878248</v>
      </c>
      <c r="BL374" s="45">
        <v>-3.9114346933520942E-2</v>
      </c>
      <c r="BM374" s="45">
        <v>4.411434693352094E-2</v>
      </c>
      <c r="BN374" s="44">
        <v>250202.16975644432</v>
      </c>
      <c r="BO374" s="62">
        <v>5875375.121620046</v>
      </c>
      <c r="BP374" s="62">
        <v>8176.8562263586082</v>
      </c>
      <c r="BQ374" s="62" t="s">
        <v>92</v>
      </c>
      <c r="BR374" s="62">
        <v>8228.8166969468439</v>
      </c>
      <c r="BS374" s="53">
        <v>6.1425404213806267E-3</v>
      </c>
      <c r="BT374" s="44">
        <v>0</v>
      </c>
      <c r="BU374" s="44">
        <v>5875375.121620046</v>
      </c>
      <c r="BV374" s="44">
        <v>0</v>
      </c>
      <c r="BW374" s="44">
        <v>5875375.121620046</v>
      </c>
      <c r="BX374" s="44">
        <v>37099.775999999998</v>
      </c>
      <c r="BY374" s="44">
        <v>5838275.3456200464</v>
      </c>
    </row>
    <row r="375" spans="1:77">
      <c r="A375">
        <v>0</v>
      </c>
      <c r="B375" s="60">
        <v>136032</v>
      </c>
      <c r="C375" s="60">
        <v>3306909</v>
      </c>
      <c r="D375" s="61" t="s">
        <v>1080</v>
      </c>
      <c r="E375" s="52">
        <v>953</v>
      </c>
      <c r="F375" s="52">
        <v>0</v>
      </c>
      <c r="G375" s="52">
        <v>953</v>
      </c>
      <c r="H375" s="44">
        <v>0</v>
      </c>
      <c r="I375" s="44">
        <v>3003617.8111999999</v>
      </c>
      <c r="J375" s="44">
        <v>2028070.6257</v>
      </c>
      <c r="K375" s="44">
        <v>0</v>
      </c>
      <c r="L375" s="44">
        <v>246843.38979999995</v>
      </c>
      <c r="M375" s="44">
        <v>0</v>
      </c>
      <c r="N375" s="44">
        <v>668337.65999999968</v>
      </c>
      <c r="O375" s="44">
        <v>0</v>
      </c>
      <c r="P375" s="44">
        <v>0</v>
      </c>
      <c r="Q375" s="44">
        <v>0</v>
      </c>
      <c r="R375" s="44">
        <v>0</v>
      </c>
      <c r="S375" s="44">
        <v>0</v>
      </c>
      <c r="T375" s="44">
        <v>0</v>
      </c>
      <c r="U375" s="44">
        <v>16718.476599999991</v>
      </c>
      <c r="V375" s="44">
        <v>34771.621500000001</v>
      </c>
      <c r="W375" s="44">
        <v>50576.90400000001</v>
      </c>
      <c r="X375" s="44">
        <v>110787.50400000003</v>
      </c>
      <c r="Y375" s="44">
        <v>242829.34980000017</v>
      </c>
      <c r="Z375" s="44">
        <v>160265.55609999961</v>
      </c>
      <c r="AA375" s="44">
        <v>0</v>
      </c>
      <c r="AB375" s="44">
        <v>39889.653286842084</v>
      </c>
      <c r="AC375" s="44">
        <v>0</v>
      </c>
      <c r="AD375" s="44">
        <v>385383.89081956743</v>
      </c>
      <c r="AE375" s="44">
        <v>0</v>
      </c>
      <c r="AF375" s="44">
        <v>0</v>
      </c>
      <c r="AG375" s="44">
        <v>138243.54</v>
      </c>
      <c r="AH375" s="44">
        <v>0</v>
      </c>
      <c r="AI375" s="44">
        <v>0</v>
      </c>
      <c r="AJ375" s="44">
        <v>0</v>
      </c>
      <c r="AK375" s="44">
        <v>13249.92</v>
      </c>
      <c r="AL375" s="44">
        <v>0</v>
      </c>
      <c r="AM375" s="44">
        <v>0</v>
      </c>
      <c r="AN375" s="44">
        <v>0</v>
      </c>
      <c r="AO375" s="44">
        <v>0</v>
      </c>
      <c r="AP375" s="44">
        <v>0</v>
      </c>
      <c r="AQ375" s="44">
        <v>0</v>
      </c>
      <c r="AR375" s="44">
        <v>0</v>
      </c>
      <c r="AS375" s="44">
        <v>0</v>
      </c>
      <c r="AT375" s="44">
        <v>5031688.4369000001</v>
      </c>
      <c r="AU375" s="44">
        <v>1956404.0059064091</v>
      </c>
      <c r="AV375" s="44">
        <v>151493.46000000002</v>
      </c>
      <c r="AW375" s="44">
        <v>1402533.5435645671</v>
      </c>
      <c r="AX375" s="62">
        <v>7139585.9028064096</v>
      </c>
      <c r="AY375" s="62">
        <v>7126335.9828064097</v>
      </c>
      <c r="AZ375" s="62">
        <v>5995</v>
      </c>
      <c r="BA375" s="62">
        <v>5713235</v>
      </c>
      <c r="BB375" s="62">
        <v>0</v>
      </c>
      <c r="BC375" s="62">
        <v>0</v>
      </c>
      <c r="BD375" s="62">
        <v>7139585.9028064096</v>
      </c>
      <c r="BE375" s="44">
        <v>0</v>
      </c>
      <c r="BF375" s="44">
        <v>7139585.9028064087</v>
      </c>
      <c r="BG375" s="62">
        <v>5726484.9199999999</v>
      </c>
      <c r="BH375" s="62">
        <v>5574991.46</v>
      </c>
      <c r="BI375" s="44">
        <v>6988092.4428064097</v>
      </c>
      <c r="BJ375" s="44">
        <v>7332.7307899332736</v>
      </c>
      <c r="BK375" s="44">
        <v>7333.8230357787806</v>
      </c>
      <c r="BL375" s="45">
        <v>-1.4893266992922974E-4</v>
      </c>
      <c r="BM375" s="45">
        <v>5.1489326699292294E-3</v>
      </c>
      <c r="BN375" s="44">
        <v>35986.577056254086</v>
      </c>
      <c r="BO375" s="62">
        <v>7175572.4798626639</v>
      </c>
      <c r="BP375" s="62">
        <v>7515.5535780300779</v>
      </c>
      <c r="BQ375" s="62" t="s">
        <v>92</v>
      </c>
      <c r="BR375" s="62">
        <v>7529.4569568338547</v>
      </c>
      <c r="BS375" s="53">
        <v>-1.3955062435622168E-4</v>
      </c>
      <c r="BT375" s="44">
        <v>0</v>
      </c>
      <c r="BU375" s="44">
        <v>7175572.4798626639</v>
      </c>
      <c r="BV375" s="44">
        <v>0</v>
      </c>
      <c r="BW375" s="44">
        <v>7175572.4798626639</v>
      </c>
      <c r="BX375" s="44">
        <v>13249.92</v>
      </c>
      <c r="BY375" s="44">
        <v>7162322.559862664</v>
      </c>
    </row>
    <row r="376" spans="1:77">
      <c r="A376">
        <v>0</v>
      </c>
      <c r="B376" s="60">
        <v>136213</v>
      </c>
      <c r="C376" s="60">
        <v>3306910</v>
      </c>
      <c r="D376" s="61" t="s">
        <v>1081</v>
      </c>
      <c r="E376" s="52">
        <v>608</v>
      </c>
      <c r="F376" s="52">
        <v>0</v>
      </c>
      <c r="G376" s="52">
        <v>608</v>
      </c>
      <c r="H376" s="44">
        <v>0</v>
      </c>
      <c r="I376" s="44">
        <v>1849543.1824</v>
      </c>
      <c r="J376" s="44">
        <v>1369089.6941</v>
      </c>
      <c r="K376" s="44">
        <v>0</v>
      </c>
      <c r="L376" s="44">
        <v>153908.3286999999</v>
      </c>
      <c r="M376" s="44">
        <v>0</v>
      </c>
      <c r="N376" s="44">
        <v>396185.74800000025</v>
      </c>
      <c r="O376" s="44">
        <v>0</v>
      </c>
      <c r="P376" s="44">
        <v>0</v>
      </c>
      <c r="Q376" s="44">
        <v>0</v>
      </c>
      <c r="R376" s="44">
        <v>0</v>
      </c>
      <c r="S376" s="44">
        <v>0</v>
      </c>
      <c r="T376" s="44">
        <v>0</v>
      </c>
      <c r="U376" s="44">
        <v>14671.316199999997</v>
      </c>
      <c r="V376" s="44">
        <v>22578.975000000013</v>
      </c>
      <c r="W376" s="44">
        <v>41725.945799999863</v>
      </c>
      <c r="X376" s="44">
        <v>20080.235099999987</v>
      </c>
      <c r="Y376" s="44">
        <v>75744.934800000075</v>
      </c>
      <c r="Z376" s="44">
        <v>129919.41529999998</v>
      </c>
      <c r="AA376" s="44">
        <v>0</v>
      </c>
      <c r="AB376" s="44">
        <v>74879.632390115308</v>
      </c>
      <c r="AC376" s="44">
        <v>0</v>
      </c>
      <c r="AD376" s="44">
        <v>308999.76081343769</v>
      </c>
      <c r="AE376" s="44">
        <v>0</v>
      </c>
      <c r="AF376" s="44">
        <v>0</v>
      </c>
      <c r="AG376" s="44">
        <v>138243.54</v>
      </c>
      <c r="AH376" s="44">
        <v>0</v>
      </c>
      <c r="AI376" s="44">
        <v>0</v>
      </c>
      <c r="AJ376" s="44">
        <v>0</v>
      </c>
      <c r="AK376" s="44">
        <v>30739.814399999999</v>
      </c>
      <c r="AL376" s="44">
        <v>0</v>
      </c>
      <c r="AM376" s="44">
        <v>0</v>
      </c>
      <c r="AN376" s="44">
        <v>0</v>
      </c>
      <c r="AO376" s="44">
        <v>0</v>
      </c>
      <c r="AP376" s="44">
        <v>0</v>
      </c>
      <c r="AQ376" s="44">
        <v>0</v>
      </c>
      <c r="AR376" s="44">
        <v>0</v>
      </c>
      <c r="AS376" s="44">
        <v>0</v>
      </c>
      <c r="AT376" s="44">
        <v>3218632.8765000002</v>
      </c>
      <c r="AU376" s="44">
        <v>1238694.292103553</v>
      </c>
      <c r="AV376" s="44">
        <v>168983.35440000001</v>
      </c>
      <c r="AW376" s="44">
        <v>897338.85408843774</v>
      </c>
      <c r="AX376" s="62">
        <v>4626310.523003553</v>
      </c>
      <c r="AY376" s="62">
        <v>4595570.7086035535</v>
      </c>
      <c r="AZ376" s="62">
        <v>5995</v>
      </c>
      <c r="BA376" s="62">
        <v>3644960</v>
      </c>
      <c r="BB376" s="62">
        <v>0</v>
      </c>
      <c r="BC376" s="62">
        <v>0</v>
      </c>
      <c r="BD376" s="62">
        <v>4626310.523003553</v>
      </c>
      <c r="BE376" s="44">
        <v>0</v>
      </c>
      <c r="BF376" s="44">
        <v>4626310.523003553</v>
      </c>
      <c r="BG376" s="62">
        <v>3675699.8144</v>
      </c>
      <c r="BH376" s="62">
        <v>3506716.46</v>
      </c>
      <c r="BI376" s="44">
        <v>4457327.1686035534</v>
      </c>
      <c r="BJ376" s="44">
        <v>7331.1302115190019</v>
      </c>
      <c r="BK376" s="44">
        <v>7520.7972393388436</v>
      </c>
      <c r="BL376" s="45">
        <v>-2.5219005616552877E-2</v>
      </c>
      <c r="BM376" s="45">
        <v>3.0219005616552878E-2</v>
      </c>
      <c r="BN376" s="44">
        <v>138180.77652205381</v>
      </c>
      <c r="BO376" s="62">
        <v>4764491.2995256064</v>
      </c>
      <c r="BP376" s="62">
        <v>7785.77546895659</v>
      </c>
      <c r="BQ376" s="62" t="s">
        <v>92</v>
      </c>
      <c r="BR376" s="62">
        <v>7836.3343742197476</v>
      </c>
      <c r="BS376" s="53">
        <v>8.4643308832450526E-3</v>
      </c>
      <c r="BT376" s="44">
        <v>0</v>
      </c>
      <c r="BU376" s="44">
        <v>4764491.2995256064</v>
      </c>
      <c r="BV376" s="44">
        <v>0</v>
      </c>
      <c r="BW376" s="44">
        <v>4764491.2995256064</v>
      </c>
      <c r="BX376" s="44">
        <v>30739.814399999999</v>
      </c>
      <c r="BY376" s="44">
        <v>4733751.4851256069</v>
      </c>
    </row>
    <row r="377" spans="1:77">
      <c r="A377">
        <v>0</v>
      </c>
      <c r="B377" s="60">
        <v>137578</v>
      </c>
      <c r="C377" s="60">
        <v>3304001</v>
      </c>
      <c r="D377" s="61" t="s">
        <v>1082</v>
      </c>
      <c r="E377" s="52">
        <v>765</v>
      </c>
      <c r="F377" s="52">
        <v>203</v>
      </c>
      <c r="G377" s="52">
        <v>562</v>
      </c>
      <c r="H377" s="44">
        <v>725624.02779999992</v>
      </c>
      <c r="I377" s="44">
        <v>1647958.0944000001</v>
      </c>
      <c r="J377" s="44">
        <v>1335004.4735000001</v>
      </c>
      <c r="K377" s="44">
        <v>76708.304399999994</v>
      </c>
      <c r="L377" s="44">
        <v>201113.43910000008</v>
      </c>
      <c r="M377" s="44">
        <v>128368.99920000001</v>
      </c>
      <c r="N377" s="44">
        <v>506973.25199999963</v>
      </c>
      <c r="O377" s="44">
        <v>1179.1240000000009</v>
      </c>
      <c r="P377" s="44">
        <v>858.00089999999943</v>
      </c>
      <c r="Q377" s="44">
        <v>3572.4952000000008</v>
      </c>
      <c r="R377" s="44">
        <v>973.40459999999962</v>
      </c>
      <c r="S377" s="44">
        <v>62533.719600000033</v>
      </c>
      <c r="T377" s="44">
        <v>34119.340000000026</v>
      </c>
      <c r="U377" s="44">
        <v>7165.061399999995</v>
      </c>
      <c r="V377" s="44">
        <v>12644.226000000001</v>
      </c>
      <c r="W377" s="44">
        <v>10747.592100000003</v>
      </c>
      <c r="X377" s="44">
        <v>12463.594200000009</v>
      </c>
      <c r="Y377" s="44">
        <v>175995.58380000008</v>
      </c>
      <c r="Z377" s="44">
        <v>185870.11240000027</v>
      </c>
      <c r="AA377" s="44">
        <v>20360.121167759546</v>
      </c>
      <c r="AB377" s="44">
        <v>25449.012799999986</v>
      </c>
      <c r="AC377" s="44">
        <v>69984.639279979965</v>
      </c>
      <c r="AD377" s="44">
        <v>265684.38190239063</v>
      </c>
      <c r="AE377" s="44">
        <v>3680.0718720000032</v>
      </c>
      <c r="AF377" s="44">
        <v>0</v>
      </c>
      <c r="AG377" s="44">
        <v>138243.54</v>
      </c>
      <c r="AH377" s="44">
        <v>0</v>
      </c>
      <c r="AI377" s="44">
        <v>0</v>
      </c>
      <c r="AJ377" s="44">
        <v>0</v>
      </c>
      <c r="AK377" s="44">
        <v>52146.036599999999</v>
      </c>
      <c r="AL377" s="44">
        <v>0</v>
      </c>
      <c r="AM377" s="44">
        <v>0</v>
      </c>
      <c r="AN377" s="44">
        <v>0</v>
      </c>
      <c r="AO377" s="44">
        <v>0</v>
      </c>
      <c r="AP377" s="44">
        <v>0</v>
      </c>
      <c r="AQ377" s="44">
        <v>0</v>
      </c>
      <c r="AR377" s="44">
        <v>0</v>
      </c>
      <c r="AS377" s="44">
        <v>0</v>
      </c>
      <c r="AT377" s="44">
        <v>3708586.5957000004</v>
      </c>
      <c r="AU377" s="44">
        <v>1806444.4759221303</v>
      </c>
      <c r="AV377" s="44">
        <v>190389.5766</v>
      </c>
      <c r="AW377" s="44">
        <v>1231741.4754173709</v>
      </c>
      <c r="AX377" s="62">
        <v>5705420.6482221307</v>
      </c>
      <c r="AY377" s="62">
        <v>5653274.6116221305</v>
      </c>
      <c r="AZ377" s="62">
        <v>5187.083333333333</v>
      </c>
      <c r="BA377" s="62">
        <v>3968118.75</v>
      </c>
      <c r="BB377" s="62">
        <v>0</v>
      </c>
      <c r="BC377" s="62">
        <v>0</v>
      </c>
      <c r="BD377" s="62">
        <v>5705420.6482221307</v>
      </c>
      <c r="BE377" s="44">
        <v>1178483.9265162104</v>
      </c>
      <c r="BF377" s="44">
        <v>4526936.721705921</v>
      </c>
      <c r="BG377" s="62">
        <v>4020264.7866000002</v>
      </c>
      <c r="BH377" s="62">
        <v>3829875.21</v>
      </c>
      <c r="BI377" s="44">
        <v>5515031.0716221305</v>
      </c>
      <c r="BJ377" s="44">
        <v>7209.1909432969023</v>
      </c>
      <c r="BK377" s="44">
        <v>7456.394468511684</v>
      </c>
      <c r="BL377" s="45">
        <v>-3.3153225229528946E-2</v>
      </c>
      <c r="BM377" s="45">
        <v>3.8153225229528943E-2</v>
      </c>
      <c r="BN377" s="44">
        <v>217631.40563136511</v>
      </c>
      <c r="BO377" s="62">
        <v>5923052.053853496</v>
      </c>
      <c r="BP377" s="62">
        <v>7674.3869506581641</v>
      </c>
      <c r="BQ377" s="62" t="s">
        <v>92</v>
      </c>
      <c r="BR377" s="62">
        <v>7742.5517043836553</v>
      </c>
      <c r="BS377" s="53">
        <v>1.036218234611419E-2</v>
      </c>
      <c r="BT377" s="44">
        <v>0</v>
      </c>
      <c r="BU377" s="44">
        <v>5923052.053853496</v>
      </c>
      <c r="BV377" s="44">
        <v>0</v>
      </c>
      <c r="BW377" s="44">
        <v>5923052.053853496</v>
      </c>
      <c r="BX377" s="44">
        <v>52146.036599999999</v>
      </c>
      <c r="BY377" s="44">
        <v>5870906.0172534958</v>
      </c>
    </row>
    <row r="378" spans="1:77">
      <c r="A378">
        <v>0</v>
      </c>
      <c r="B378" s="60">
        <v>142219</v>
      </c>
      <c r="C378" s="60">
        <v>3304009</v>
      </c>
      <c r="D378" s="61" t="s">
        <v>1083</v>
      </c>
      <c r="E378" s="52">
        <v>1652</v>
      </c>
      <c r="F378" s="52">
        <v>580</v>
      </c>
      <c r="G378" s="52">
        <v>1072</v>
      </c>
      <c r="H378" s="44">
        <v>2073211.5079999999</v>
      </c>
      <c r="I378" s="44">
        <v>3200163.2719999999</v>
      </c>
      <c r="J378" s="44">
        <v>2482540.2337000002</v>
      </c>
      <c r="K378" s="44">
        <v>90476.461600000053</v>
      </c>
      <c r="L378" s="44">
        <v>211931.27689999994</v>
      </c>
      <c r="M378" s="44">
        <v>171981.54380000004</v>
      </c>
      <c r="N378" s="44">
        <v>621373.39200000057</v>
      </c>
      <c r="O378" s="44">
        <v>15328.61199999995</v>
      </c>
      <c r="P378" s="44">
        <v>12584.013199999994</v>
      </c>
      <c r="Q378" s="44">
        <v>71003.342100000053</v>
      </c>
      <c r="R378" s="44">
        <v>109021.31519999997</v>
      </c>
      <c r="S378" s="44">
        <v>31008.456000000009</v>
      </c>
      <c r="T378" s="44">
        <v>6141.481199999982</v>
      </c>
      <c r="U378" s="44">
        <v>42990.368400000065</v>
      </c>
      <c r="V378" s="44">
        <v>48319.006500000003</v>
      </c>
      <c r="W378" s="44">
        <v>194088.86909999978</v>
      </c>
      <c r="X378" s="44">
        <v>245809.77449999971</v>
      </c>
      <c r="Y378" s="44">
        <v>102478.44119999991</v>
      </c>
      <c r="Z378" s="44">
        <v>17069.704199999996</v>
      </c>
      <c r="AA378" s="44">
        <v>96944.253129224729</v>
      </c>
      <c r="AB378" s="44">
        <v>135831.42258294279</v>
      </c>
      <c r="AC378" s="44">
        <v>218016.72415638127</v>
      </c>
      <c r="AD378" s="44">
        <v>553102.38152220275</v>
      </c>
      <c r="AE378" s="44">
        <v>15862.039077712318</v>
      </c>
      <c r="AF378" s="44">
        <v>12304.14932169884</v>
      </c>
      <c r="AG378" s="44">
        <v>138243.54</v>
      </c>
      <c r="AH378" s="44">
        <v>0</v>
      </c>
      <c r="AI378" s="44">
        <v>0</v>
      </c>
      <c r="AJ378" s="44">
        <v>0</v>
      </c>
      <c r="AK378" s="44">
        <v>17807.8966</v>
      </c>
      <c r="AL378" s="44">
        <v>0</v>
      </c>
      <c r="AM378" s="44">
        <v>0</v>
      </c>
      <c r="AN378" s="44">
        <v>0</v>
      </c>
      <c r="AO378" s="44">
        <v>0</v>
      </c>
      <c r="AP378" s="44">
        <v>0</v>
      </c>
      <c r="AQ378" s="44">
        <v>0</v>
      </c>
      <c r="AR378" s="44">
        <v>0</v>
      </c>
      <c r="AS378" s="44">
        <v>0</v>
      </c>
      <c r="AT378" s="44">
        <v>7755915.0136999991</v>
      </c>
      <c r="AU378" s="44">
        <v>3023667.0276901629</v>
      </c>
      <c r="AV378" s="44">
        <v>156051.43660000002</v>
      </c>
      <c r="AW378" s="44">
        <v>2154717.885313584</v>
      </c>
      <c r="AX378" s="62">
        <v>10935633.477990162</v>
      </c>
      <c r="AY378" s="62">
        <v>10917825.581390161</v>
      </c>
      <c r="AZ378" s="62">
        <v>5187.083333333333</v>
      </c>
      <c r="BA378" s="62">
        <v>8569061.666666666</v>
      </c>
      <c r="BB378" s="62">
        <v>0</v>
      </c>
      <c r="BC378" s="62">
        <v>0</v>
      </c>
      <c r="BD378" s="62">
        <v>10935633.477990162</v>
      </c>
      <c r="BE378" s="44">
        <v>2966367.7841049642</v>
      </c>
      <c r="BF378" s="44">
        <v>7969265.6938851979</v>
      </c>
      <c r="BG378" s="62">
        <v>8586869.5632666666</v>
      </c>
      <c r="BH378" s="62">
        <v>8430818.1266666669</v>
      </c>
      <c r="BI378" s="44">
        <v>10779582.041390162</v>
      </c>
      <c r="BJ378" s="44">
        <v>6525.1707272337544</v>
      </c>
      <c r="BK378" s="44">
        <v>6426.6895405074902</v>
      </c>
      <c r="BL378" s="45">
        <v>1.532378156833877E-2</v>
      </c>
      <c r="BM378" s="45">
        <v>0</v>
      </c>
      <c r="BN378" s="44">
        <v>0</v>
      </c>
      <c r="BO378" s="62">
        <v>10935633.477990162</v>
      </c>
      <c r="BP378" s="62">
        <v>6608.8532575000972</v>
      </c>
      <c r="BQ378" s="62" t="s">
        <v>92</v>
      </c>
      <c r="BR378" s="62">
        <v>6619.6328559262483</v>
      </c>
      <c r="BS378" s="53">
        <v>1.1840311201178233E-2</v>
      </c>
      <c r="BT378" s="44">
        <v>0</v>
      </c>
      <c r="BU378" s="44">
        <v>10935633.477990162</v>
      </c>
      <c r="BV378" s="44">
        <v>0</v>
      </c>
      <c r="BW378" s="44">
        <v>10935633.477990162</v>
      </c>
      <c r="BX378" s="44">
        <v>17807.8966</v>
      </c>
      <c r="BY378" s="44">
        <v>10917825.581390161</v>
      </c>
    </row>
    <row r="379" spans="1:77">
      <c r="A379">
        <v>0</v>
      </c>
      <c r="B379" s="60">
        <v>141318</v>
      </c>
      <c r="C379" s="60">
        <v>3304017</v>
      </c>
      <c r="D379" s="61" t="s">
        <v>1084</v>
      </c>
      <c r="E379" s="52">
        <v>642</v>
      </c>
      <c r="F379" s="52">
        <v>123</v>
      </c>
      <c r="G379" s="52">
        <v>519</v>
      </c>
      <c r="H379" s="44">
        <v>439663.8198</v>
      </c>
      <c r="I379" s="44">
        <v>1617720.3311999999</v>
      </c>
      <c r="J379" s="44">
        <v>1124812.2798000001</v>
      </c>
      <c r="K379" s="44">
        <v>41304.471600000012</v>
      </c>
      <c r="L379" s="44">
        <v>157842.0879000001</v>
      </c>
      <c r="M379" s="44">
        <v>69121.76880000002</v>
      </c>
      <c r="N379" s="44">
        <v>394981.53599999991</v>
      </c>
      <c r="O379" s="44">
        <v>943.29919999999913</v>
      </c>
      <c r="P379" s="44">
        <v>572.00059999999939</v>
      </c>
      <c r="Q379" s="44">
        <v>8484.6760999999897</v>
      </c>
      <c r="R379" s="44">
        <v>11194.15289999999</v>
      </c>
      <c r="S379" s="44">
        <v>12920.189999999986</v>
      </c>
      <c r="T379" s="44">
        <v>13647.735999999986</v>
      </c>
      <c r="U379" s="44">
        <v>4435.5142000000042</v>
      </c>
      <c r="V379" s="44">
        <v>18514.7595</v>
      </c>
      <c r="W379" s="44">
        <v>20230.761600000016</v>
      </c>
      <c r="X379" s="44">
        <v>36005.938799999887</v>
      </c>
      <c r="Y379" s="44">
        <v>125498.96060000001</v>
      </c>
      <c r="Z379" s="44">
        <v>102418.22520000003</v>
      </c>
      <c r="AA379" s="44">
        <v>9803.3277865384916</v>
      </c>
      <c r="AB379" s="44">
        <v>53206.206326367188</v>
      </c>
      <c r="AC379" s="44">
        <v>56937.361951740757</v>
      </c>
      <c r="AD379" s="44">
        <v>327723.98365588265</v>
      </c>
      <c r="AE379" s="44">
        <v>597.28915200000438</v>
      </c>
      <c r="AF379" s="44">
        <v>20949.144070325568</v>
      </c>
      <c r="AG379" s="44">
        <v>138243.54</v>
      </c>
      <c r="AH379" s="44">
        <v>0</v>
      </c>
      <c r="AI379" s="44">
        <v>0</v>
      </c>
      <c r="AJ379" s="44">
        <v>0</v>
      </c>
      <c r="AK379" s="44">
        <v>48229.7088</v>
      </c>
      <c r="AL379" s="44">
        <v>0</v>
      </c>
      <c r="AM379" s="44">
        <v>0</v>
      </c>
      <c r="AN379" s="44">
        <v>0</v>
      </c>
      <c r="AO379" s="44">
        <v>0</v>
      </c>
      <c r="AP379" s="44">
        <v>0</v>
      </c>
      <c r="AQ379" s="44">
        <v>0</v>
      </c>
      <c r="AR379" s="44">
        <v>0</v>
      </c>
      <c r="AS379" s="44">
        <v>0</v>
      </c>
      <c r="AT379" s="44">
        <v>3182196.4308000002</v>
      </c>
      <c r="AU379" s="44">
        <v>1487333.3919428547</v>
      </c>
      <c r="AV379" s="44">
        <v>186473.2488</v>
      </c>
      <c r="AW379" s="44">
        <v>1052829.2066476236</v>
      </c>
      <c r="AX379" s="62">
        <v>4856003.0715428554</v>
      </c>
      <c r="AY379" s="62">
        <v>4807773.3627428552</v>
      </c>
      <c r="AZ379" s="62">
        <v>5187.083333333333</v>
      </c>
      <c r="BA379" s="62">
        <v>3330107.5</v>
      </c>
      <c r="BB379" s="62">
        <v>0</v>
      </c>
      <c r="BC379" s="62">
        <v>0</v>
      </c>
      <c r="BD379" s="62">
        <v>4856003.0715428554</v>
      </c>
      <c r="BE379" s="44">
        <v>700916.27707158774</v>
      </c>
      <c r="BF379" s="44">
        <v>4155086.7944712667</v>
      </c>
      <c r="BG379" s="62">
        <v>3378337.2088000001</v>
      </c>
      <c r="BH379" s="62">
        <v>3191863.96</v>
      </c>
      <c r="BI379" s="44">
        <v>4669529.8227428552</v>
      </c>
      <c r="BJ379" s="44">
        <v>7273.4109388517991</v>
      </c>
      <c r="BK379" s="44">
        <v>7039.0369216666668</v>
      </c>
      <c r="BL379" s="45">
        <v>3.3296318771068249E-2</v>
      </c>
      <c r="BM379" s="45">
        <v>0</v>
      </c>
      <c r="BN379" s="44">
        <v>0</v>
      </c>
      <c r="BO379" s="62">
        <v>4856003.0715428554</v>
      </c>
      <c r="BP379" s="62">
        <v>7488.7435556742294</v>
      </c>
      <c r="BQ379" s="62" t="s">
        <v>92</v>
      </c>
      <c r="BR379" s="62">
        <v>7563.8677126835755</v>
      </c>
      <c r="BS379" s="53">
        <v>3.9750833362553584E-2</v>
      </c>
      <c r="BT379" s="44">
        <v>0</v>
      </c>
      <c r="BU379" s="44">
        <v>4856003.0715428554</v>
      </c>
      <c r="BV379" s="44">
        <v>0</v>
      </c>
      <c r="BW379" s="44">
        <v>4856003.0715428554</v>
      </c>
      <c r="BX379" s="44">
        <v>48229.7088</v>
      </c>
      <c r="BY379" s="44">
        <v>4807773.3627428552</v>
      </c>
    </row>
    <row r="380" spans="1:77">
      <c r="A380">
        <v>0</v>
      </c>
      <c r="B380" s="60">
        <v>141752</v>
      </c>
      <c r="C380" s="60">
        <v>3304019</v>
      </c>
      <c r="D380" s="61" t="s">
        <v>1085</v>
      </c>
      <c r="E380" s="52">
        <v>1500</v>
      </c>
      <c r="F380" s="52">
        <v>686</v>
      </c>
      <c r="G380" s="52">
        <v>814</v>
      </c>
      <c r="H380" s="44">
        <v>2452108.7835999997</v>
      </c>
      <c r="I380" s="44">
        <v>2519813.6</v>
      </c>
      <c r="J380" s="44">
        <v>1783793.2113999999</v>
      </c>
      <c r="K380" s="44">
        <v>148007.68990000014</v>
      </c>
      <c r="L380" s="44">
        <v>176035.72420000008</v>
      </c>
      <c r="M380" s="44">
        <v>248509.21639999971</v>
      </c>
      <c r="N380" s="44">
        <v>468438.46800000005</v>
      </c>
      <c r="O380" s="44">
        <v>4480.671200000008</v>
      </c>
      <c r="P380" s="44">
        <v>64064.067200000005</v>
      </c>
      <c r="Q380" s="44">
        <v>99136.741799999916</v>
      </c>
      <c r="R380" s="44">
        <v>88579.81860000013</v>
      </c>
      <c r="S380" s="44">
        <v>8268.921600000016</v>
      </c>
      <c r="T380" s="44">
        <v>3411.9340000000002</v>
      </c>
      <c r="U380" s="44">
        <v>7165.0613999999996</v>
      </c>
      <c r="V380" s="44">
        <v>114249.61350000008</v>
      </c>
      <c r="W380" s="44">
        <v>168168.20580000011</v>
      </c>
      <c r="X380" s="44">
        <v>150947.97420000011</v>
      </c>
      <c r="Y380" s="44">
        <v>17079.740200000026</v>
      </c>
      <c r="Z380" s="44">
        <v>14224.753499999979</v>
      </c>
      <c r="AA380" s="44">
        <v>174453.73977877278</v>
      </c>
      <c r="AB380" s="44">
        <v>79625.985621156258</v>
      </c>
      <c r="AC380" s="44">
        <v>176409.3744229507</v>
      </c>
      <c r="AD380" s="44">
        <v>342000.4852147213</v>
      </c>
      <c r="AE380" s="44">
        <v>1833.0743600583778</v>
      </c>
      <c r="AF380" s="44">
        <v>0</v>
      </c>
      <c r="AG380" s="44">
        <v>138243.54</v>
      </c>
      <c r="AH380" s="44">
        <v>0</v>
      </c>
      <c r="AI380" s="44">
        <v>0</v>
      </c>
      <c r="AJ380" s="44">
        <v>0</v>
      </c>
      <c r="AK380" s="44">
        <v>36590.873599999999</v>
      </c>
      <c r="AL380" s="44">
        <v>0</v>
      </c>
      <c r="AM380" s="44">
        <v>0</v>
      </c>
      <c r="AN380" s="44">
        <v>0</v>
      </c>
      <c r="AO380" s="44">
        <v>0</v>
      </c>
      <c r="AP380" s="44">
        <v>0</v>
      </c>
      <c r="AQ380" s="44">
        <v>0</v>
      </c>
      <c r="AR380" s="44">
        <v>0</v>
      </c>
      <c r="AS380" s="44">
        <v>0</v>
      </c>
      <c r="AT380" s="44">
        <v>6755715.5950000007</v>
      </c>
      <c r="AU380" s="44">
        <v>2555091.2608976592</v>
      </c>
      <c r="AV380" s="44">
        <v>174834.4136</v>
      </c>
      <c r="AW380" s="44">
        <v>1746579.9401376722</v>
      </c>
      <c r="AX380" s="62">
        <v>9485641.2694976591</v>
      </c>
      <c r="AY380" s="62">
        <v>9449050.3958976585</v>
      </c>
      <c r="AZ380" s="62">
        <v>5187.083333333333</v>
      </c>
      <c r="BA380" s="62">
        <v>7780625</v>
      </c>
      <c r="BB380" s="62">
        <v>0</v>
      </c>
      <c r="BC380" s="62">
        <v>0</v>
      </c>
      <c r="BD380" s="62">
        <v>9485641.2694976591</v>
      </c>
      <c r="BE380" s="44">
        <v>3549221.6380148483</v>
      </c>
      <c r="BF380" s="44">
        <v>5936419.6314828116</v>
      </c>
      <c r="BG380" s="62">
        <v>7817215.8735999996</v>
      </c>
      <c r="BH380" s="62">
        <v>7642381.46</v>
      </c>
      <c r="BI380" s="44">
        <v>9310806.8558976594</v>
      </c>
      <c r="BJ380" s="44">
        <v>6207.2045705984392</v>
      </c>
      <c r="BK380" s="44">
        <v>6060.262661427163</v>
      </c>
      <c r="BL380" s="45">
        <v>2.424678885727901E-2</v>
      </c>
      <c r="BM380" s="45">
        <v>0</v>
      </c>
      <c r="BN380" s="44">
        <v>0</v>
      </c>
      <c r="BO380" s="62">
        <v>9485641.2694976591</v>
      </c>
      <c r="BP380" s="62">
        <v>6299.3669305984395</v>
      </c>
      <c r="BQ380" s="62" t="s">
        <v>92</v>
      </c>
      <c r="BR380" s="62">
        <v>6323.7608463317729</v>
      </c>
      <c r="BS380" s="53">
        <v>2.2934831839844794E-2</v>
      </c>
      <c r="BT380" s="44">
        <v>0</v>
      </c>
      <c r="BU380" s="44">
        <v>9485641.2694976591</v>
      </c>
      <c r="BV380" s="44">
        <v>0</v>
      </c>
      <c r="BW380" s="44">
        <v>9485641.2694976591</v>
      </c>
      <c r="BX380" s="44">
        <v>36590.873599999999</v>
      </c>
      <c r="BY380" s="44">
        <v>9449050.3958976585</v>
      </c>
    </row>
    <row r="381" spans="1:77">
      <c r="A381">
        <v>0</v>
      </c>
      <c r="B381" s="60">
        <v>147757</v>
      </c>
      <c r="C381" s="60">
        <v>3304038</v>
      </c>
      <c r="D381" s="61" t="s">
        <v>1086</v>
      </c>
      <c r="E381" s="52">
        <v>2082</v>
      </c>
      <c r="F381" s="52">
        <v>1202</v>
      </c>
      <c r="G381" s="52">
        <v>880</v>
      </c>
      <c r="H381" s="44">
        <v>4296552.1251999997</v>
      </c>
      <c r="I381" s="44">
        <v>2635725.0255999998</v>
      </c>
      <c r="J381" s="44">
        <v>2028070.6257</v>
      </c>
      <c r="K381" s="44">
        <v>144073.93070000023</v>
      </c>
      <c r="L381" s="44">
        <v>178494.32370000001</v>
      </c>
      <c r="M381" s="44">
        <v>283892.9790000004</v>
      </c>
      <c r="N381" s="44">
        <v>588859.66799999983</v>
      </c>
      <c r="O381" s="44">
        <v>18188.773782666678</v>
      </c>
      <c r="P381" s="44">
        <v>48701.084418333441</v>
      </c>
      <c r="Q381" s="44">
        <v>174449.406235</v>
      </c>
      <c r="R381" s="44">
        <v>207193.22496250022</v>
      </c>
      <c r="S381" s="44">
        <v>53319.901437999979</v>
      </c>
      <c r="T381" s="44">
        <v>6835.2411133333298</v>
      </c>
      <c r="U381" s="44">
        <v>15353.702999999989</v>
      </c>
      <c r="V381" s="44">
        <v>55092.699000000146</v>
      </c>
      <c r="W381" s="44">
        <v>164374.93799999976</v>
      </c>
      <c r="X381" s="44">
        <v>223652.27370000028</v>
      </c>
      <c r="Y381" s="44">
        <v>63863.376399999986</v>
      </c>
      <c r="Z381" s="44">
        <v>18018.021100000009</v>
      </c>
      <c r="AA381" s="44">
        <v>259290.33662480634</v>
      </c>
      <c r="AB381" s="44">
        <v>163164.52778057204</v>
      </c>
      <c r="AC381" s="44">
        <v>510642.88863561768</v>
      </c>
      <c r="AD381" s="44">
        <v>380526.97950610035</v>
      </c>
      <c r="AE381" s="44">
        <v>0</v>
      </c>
      <c r="AF381" s="44">
        <v>31217.793935342499</v>
      </c>
      <c r="AG381" s="44">
        <v>138243.54</v>
      </c>
      <c r="AH381" s="44">
        <v>0</v>
      </c>
      <c r="AI381" s="44">
        <v>0</v>
      </c>
      <c r="AJ381" s="44">
        <v>165809.96</v>
      </c>
      <c r="AK381" s="44">
        <v>0</v>
      </c>
      <c r="AL381" s="44">
        <v>0</v>
      </c>
      <c r="AM381" s="44">
        <v>0</v>
      </c>
      <c r="AN381" s="44">
        <v>0</v>
      </c>
      <c r="AO381" s="44">
        <v>0</v>
      </c>
      <c r="AP381" s="44">
        <v>0</v>
      </c>
      <c r="AQ381" s="44">
        <v>0</v>
      </c>
      <c r="AR381" s="44">
        <v>0</v>
      </c>
      <c r="AS381" s="44">
        <v>0</v>
      </c>
      <c r="AT381" s="44">
        <v>8960347.7764999997</v>
      </c>
      <c r="AU381" s="44">
        <v>3589206.0710322731</v>
      </c>
      <c r="AV381" s="44">
        <v>304053.5</v>
      </c>
      <c r="AW381" s="44">
        <v>2461369.0292416355</v>
      </c>
      <c r="AX381" s="62">
        <v>12853607.347532272</v>
      </c>
      <c r="AY381" s="62">
        <v>12687797.387532271</v>
      </c>
      <c r="AZ381" s="62">
        <v>5187.083333333333</v>
      </c>
      <c r="BA381" s="62">
        <v>10799507.5</v>
      </c>
      <c r="BB381" s="62">
        <v>0</v>
      </c>
      <c r="BC381" s="62">
        <v>0</v>
      </c>
      <c r="BD381" s="62">
        <v>12853607.347532272</v>
      </c>
      <c r="BE381" s="44">
        <v>6178678.9444637634</v>
      </c>
      <c r="BF381" s="44">
        <v>6674928.403068509</v>
      </c>
      <c r="BG381" s="62">
        <v>10965317.460000001</v>
      </c>
      <c r="BH381" s="62">
        <v>10827073.920000002</v>
      </c>
      <c r="BI381" s="44">
        <v>12715363.807532273</v>
      </c>
      <c r="BJ381" s="44">
        <v>6107.2832889204001</v>
      </c>
      <c r="BK381" s="44">
        <v>6035.9152800490201</v>
      </c>
      <c r="BL381" s="45">
        <v>1.1823891747996893E-2</v>
      </c>
      <c r="BM381" s="45">
        <v>0</v>
      </c>
      <c r="BN381" s="44">
        <v>0</v>
      </c>
      <c r="BO381" s="62">
        <v>12853607.347532272</v>
      </c>
      <c r="BP381" s="62">
        <v>6094.0429334929258</v>
      </c>
      <c r="BQ381" s="62" t="s">
        <v>92</v>
      </c>
      <c r="BR381" s="62">
        <v>6173.68268373308</v>
      </c>
      <c r="BS381" s="53">
        <v>8.5910575547947232E-3</v>
      </c>
      <c r="BT381" s="44">
        <v>0</v>
      </c>
      <c r="BU381" s="44">
        <v>12853607.347532272</v>
      </c>
      <c r="BV381" s="44">
        <v>0</v>
      </c>
      <c r="BW381" s="44">
        <v>12853607.347532272</v>
      </c>
      <c r="BX381" s="44">
        <v>0</v>
      </c>
      <c r="BY381" s="44">
        <v>12853607.347532272</v>
      </c>
    </row>
    <row r="382" spans="1:77">
      <c r="A382">
        <v>0</v>
      </c>
      <c r="B382" s="60">
        <v>149155</v>
      </c>
      <c r="C382" s="60">
        <v>3304045</v>
      </c>
      <c r="D382" s="61" t="s">
        <v>1087</v>
      </c>
      <c r="E382" s="52">
        <v>472</v>
      </c>
      <c r="F382" s="52">
        <v>160</v>
      </c>
      <c r="G382" s="52">
        <v>312</v>
      </c>
      <c r="H382" s="44">
        <v>571920.41599999997</v>
      </c>
      <c r="I382" s="44">
        <v>755944.08</v>
      </c>
      <c r="J382" s="44">
        <v>920300.95620000002</v>
      </c>
      <c r="K382" s="44">
        <v>37862.4323</v>
      </c>
      <c r="L382" s="44">
        <v>79166.90389999999</v>
      </c>
      <c r="M382" s="44">
        <v>77350.550799999997</v>
      </c>
      <c r="N382" s="44">
        <v>226391.85600000017</v>
      </c>
      <c r="O382" s="44">
        <v>2594.0727999999999</v>
      </c>
      <c r="P382" s="44">
        <v>3146.0032999999999</v>
      </c>
      <c r="Q382" s="44">
        <v>7591.5522999999994</v>
      </c>
      <c r="R382" s="44">
        <v>18007.985099999998</v>
      </c>
      <c r="S382" s="44">
        <v>27390.802799999998</v>
      </c>
      <c r="T382" s="44">
        <v>11600.5756</v>
      </c>
      <c r="U382" s="44">
        <v>5459.0944000000027</v>
      </c>
      <c r="V382" s="44">
        <v>8580.0105000000003</v>
      </c>
      <c r="W382" s="44">
        <v>27185.085900000038</v>
      </c>
      <c r="X382" s="44">
        <v>53316.486300000055</v>
      </c>
      <c r="Y382" s="44">
        <v>88369.090599999909</v>
      </c>
      <c r="Z382" s="44">
        <v>24656.239399999991</v>
      </c>
      <c r="AA382" s="44">
        <v>10881.303027027041</v>
      </c>
      <c r="AB382" s="44">
        <v>122867.17916141477</v>
      </c>
      <c r="AC382" s="44">
        <v>43860.020008528802</v>
      </c>
      <c r="AD382" s="44">
        <v>198377.8507864775</v>
      </c>
      <c r="AE382" s="44">
        <v>7231.9368211321234</v>
      </c>
      <c r="AF382" s="44">
        <v>47708.44778361408</v>
      </c>
      <c r="AG382" s="44">
        <v>138243.54</v>
      </c>
      <c r="AH382" s="44">
        <v>0</v>
      </c>
      <c r="AI382" s="44">
        <v>0</v>
      </c>
      <c r="AJ382" s="44">
        <v>0</v>
      </c>
      <c r="AK382" s="44">
        <v>29679.820800000001</v>
      </c>
      <c r="AL382" s="44">
        <v>0</v>
      </c>
      <c r="AM382" s="44">
        <v>0</v>
      </c>
      <c r="AN382" s="44">
        <v>0</v>
      </c>
      <c r="AO382" s="44">
        <v>0</v>
      </c>
      <c r="AP382" s="44">
        <v>0</v>
      </c>
      <c r="AQ382" s="44">
        <v>0</v>
      </c>
      <c r="AR382" s="44">
        <v>0</v>
      </c>
      <c r="AS382" s="44">
        <v>0</v>
      </c>
      <c r="AT382" s="44">
        <v>2248165.4521999997</v>
      </c>
      <c r="AU382" s="44">
        <v>1129595.4795881945</v>
      </c>
      <c r="AV382" s="44">
        <v>167923.36080000002</v>
      </c>
      <c r="AW382" s="44">
        <v>703980.51440500631</v>
      </c>
      <c r="AX382" s="62">
        <v>3545684.2925881939</v>
      </c>
      <c r="AY382" s="62">
        <v>3516004.471788194</v>
      </c>
      <c r="AZ382" s="62">
        <v>5187.083333333333</v>
      </c>
      <c r="BA382" s="62">
        <v>2448303.333333333</v>
      </c>
      <c r="BB382" s="62">
        <v>0</v>
      </c>
      <c r="BC382" s="62">
        <v>0</v>
      </c>
      <c r="BD382" s="62">
        <v>3545684.2925881939</v>
      </c>
      <c r="BE382" s="44">
        <v>876360.82400923013</v>
      </c>
      <c r="BF382" s="44">
        <v>2669323.468578964</v>
      </c>
      <c r="BG382" s="62">
        <v>2477983.1541333329</v>
      </c>
      <c r="BH382" s="62">
        <v>2310059.793333333</v>
      </c>
      <c r="BI382" s="44">
        <v>3377760.931788194</v>
      </c>
      <c r="BJ382" s="44">
        <v>7156.2731605682075</v>
      </c>
      <c r="BK382" s="44">
        <v>6947.7406471869326</v>
      </c>
      <c r="BL382" s="45">
        <v>3.0014435479209702E-2</v>
      </c>
      <c r="BM382" s="45">
        <v>0</v>
      </c>
      <c r="BN382" s="44">
        <v>0</v>
      </c>
      <c r="BO382" s="62">
        <v>3545684.2925881939</v>
      </c>
      <c r="BP382" s="62">
        <v>7449.1620165004115</v>
      </c>
      <c r="BQ382" s="62" t="s">
        <v>92</v>
      </c>
      <c r="BR382" s="62">
        <v>7512.0429927715968</v>
      </c>
      <c r="BS382" s="53">
        <v>4.2117428538806401E-2</v>
      </c>
      <c r="BT382" s="44">
        <v>0</v>
      </c>
      <c r="BU382" s="44">
        <v>3545684.2925881939</v>
      </c>
      <c r="BV382" s="44">
        <v>0</v>
      </c>
      <c r="BW382" s="44">
        <v>3545684.2925881939</v>
      </c>
      <c r="BX382" s="44">
        <v>29679.820800000001</v>
      </c>
      <c r="BY382" s="44">
        <v>3516004.471788194</v>
      </c>
    </row>
    <row r="383" spans="1:77">
      <c r="A383">
        <v>0</v>
      </c>
      <c r="B383" s="60">
        <v>139888</v>
      </c>
      <c r="C383" s="60">
        <v>3304084</v>
      </c>
      <c r="D383" s="61" t="s">
        <v>1088</v>
      </c>
      <c r="E383" s="52">
        <v>1627</v>
      </c>
      <c r="F383" s="52">
        <v>210</v>
      </c>
      <c r="G383" s="52">
        <v>1417</v>
      </c>
      <c r="H383" s="44">
        <v>750645.54599999997</v>
      </c>
      <c r="I383" s="44">
        <v>4243366.1024000002</v>
      </c>
      <c r="J383" s="44">
        <v>3266500.3075000001</v>
      </c>
      <c r="K383" s="44">
        <v>42287.911400000048</v>
      </c>
      <c r="L383" s="44">
        <v>268479.06539999985</v>
      </c>
      <c r="M383" s="44">
        <v>77350.55080000007</v>
      </c>
      <c r="N383" s="44">
        <v>858603.15600000066</v>
      </c>
      <c r="O383" s="44">
        <v>1650.7735999999984</v>
      </c>
      <c r="P383" s="44">
        <v>11726.012299999986</v>
      </c>
      <c r="Q383" s="44">
        <v>8038.1141999999982</v>
      </c>
      <c r="R383" s="44">
        <v>53050.550699999993</v>
      </c>
      <c r="S383" s="44">
        <v>10336.151999999996</v>
      </c>
      <c r="T383" s="44">
        <v>2729.5471999999932</v>
      </c>
      <c r="U383" s="44">
        <v>26004.104481811748</v>
      </c>
      <c r="V383" s="44">
        <v>163028.82840764313</v>
      </c>
      <c r="W383" s="44">
        <v>76714.120922929957</v>
      </c>
      <c r="X383" s="44">
        <v>289557.31356624188</v>
      </c>
      <c r="Y383" s="44">
        <v>206281.78547530127</v>
      </c>
      <c r="Z383" s="44">
        <v>77982.118810049578</v>
      </c>
      <c r="AA383" s="44">
        <v>24038.078539999962</v>
      </c>
      <c r="AB383" s="44">
        <v>187116.62660216907</v>
      </c>
      <c r="AC383" s="44">
        <v>81480.127431519009</v>
      </c>
      <c r="AD383" s="44">
        <v>692895.32765226171</v>
      </c>
      <c r="AE383" s="44">
        <v>0</v>
      </c>
      <c r="AF383" s="44">
        <v>21333.837714361365</v>
      </c>
      <c r="AG383" s="44">
        <v>138243.54</v>
      </c>
      <c r="AH383" s="44">
        <v>0</v>
      </c>
      <c r="AI383" s="44">
        <v>0</v>
      </c>
      <c r="AJ383" s="44">
        <v>0</v>
      </c>
      <c r="AK383" s="44">
        <v>0</v>
      </c>
      <c r="AL383" s="44">
        <v>0</v>
      </c>
      <c r="AM383" s="44">
        <v>0</v>
      </c>
      <c r="AN383" s="44">
        <v>0</v>
      </c>
      <c r="AO383" s="44">
        <v>0</v>
      </c>
      <c r="AP383" s="44">
        <v>0</v>
      </c>
      <c r="AQ383" s="44">
        <v>0</v>
      </c>
      <c r="AR383" s="44">
        <v>0</v>
      </c>
      <c r="AS383" s="44">
        <v>0</v>
      </c>
      <c r="AT383" s="44">
        <v>8260511.9559000004</v>
      </c>
      <c r="AU383" s="44">
        <v>3180684.103204289</v>
      </c>
      <c r="AV383" s="44">
        <v>138243.54</v>
      </c>
      <c r="AW383" s="44">
        <v>2274311.1055107699</v>
      </c>
      <c r="AX383" s="62">
        <v>11579439.599104289</v>
      </c>
      <c r="AY383" s="62">
        <v>11579439.599104289</v>
      </c>
      <c r="AZ383" s="62">
        <v>5187.083333333333</v>
      </c>
      <c r="BA383" s="62">
        <v>8439384.5833333321</v>
      </c>
      <c r="BB383" s="62">
        <v>0</v>
      </c>
      <c r="BC383" s="62">
        <v>0</v>
      </c>
      <c r="BD383" s="62">
        <v>11579439.599104289</v>
      </c>
      <c r="BE383" s="44">
        <v>1081176.7221309538</v>
      </c>
      <c r="BF383" s="44">
        <v>10498262.876973337</v>
      </c>
      <c r="BG383" s="62">
        <v>8439384.5833333321</v>
      </c>
      <c r="BH383" s="62">
        <v>8301141.0433333321</v>
      </c>
      <c r="BI383" s="44">
        <v>11441196.05910429</v>
      </c>
      <c r="BJ383" s="44">
        <v>7032.0811672429563</v>
      </c>
      <c r="BK383" s="44">
        <v>6922.791541723499</v>
      </c>
      <c r="BL383" s="45">
        <v>1.578693000659797E-2</v>
      </c>
      <c r="BM383" s="45">
        <v>0</v>
      </c>
      <c r="BN383" s="44">
        <v>0</v>
      </c>
      <c r="BO383" s="62">
        <v>11579439.599104289</v>
      </c>
      <c r="BP383" s="62">
        <v>7117.049538478358</v>
      </c>
      <c r="BQ383" s="62" t="s">
        <v>92</v>
      </c>
      <c r="BR383" s="62">
        <v>7117.049538478358</v>
      </c>
      <c r="BS383" s="53">
        <v>1.2906778069094127E-2</v>
      </c>
      <c r="BT383" s="44">
        <v>0</v>
      </c>
      <c r="BU383" s="44">
        <v>11579439.599104289</v>
      </c>
      <c r="BV383" s="44">
        <v>0</v>
      </c>
      <c r="BW383" s="44">
        <v>11579439.599104289</v>
      </c>
      <c r="BX383" s="44">
        <v>0</v>
      </c>
      <c r="BY383" s="44">
        <v>11579439.599104289</v>
      </c>
    </row>
    <row r="384" spans="1:77">
      <c r="A384">
        <v>0</v>
      </c>
      <c r="B384" s="60">
        <v>150181</v>
      </c>
      <c r="C384" s="60">
        <v>3302119</v>
      </c>
      <c r="D384" s="61" t="s">
        <v>1089</v>
      </c>
      <c r="E384" s="52">
        <v>411</v>
      </c>
      <c r="F384" s="52">
        <v>411</v>
      </c>
      <c r="G384" s="52">
        <v>0</v>
      </c>
      <c r="H384" s="44">
        <v>1469120.5685999999</v>
      </c>
      <c r="I384" s="44">
        <v>0</v>
      </c>
      <c r="J384" s="44">
        <v>0</v>
      </c>
      <c r="K384" s="44">
        <v>89984.741700000042</v>
      </c>
      <c r="L384" s="44">
        <v>0</v>
      </c>
      <c r="M384" s="44">
        <v>152232.46700000015</v>
      </c>
      <c r="N384" s="44">
        <v>0</v>
      </c>
      <c r="O384" s="44">
        <v>12056.399104390241</v>
      </c>
      <c r="P384" s="44">
        <v>9747.7272980487833</v>
      </c>
      <c r="Q384" s="44">
        <v>5819.4639797560903</v>
      </c>
      <c r="R384" s="44">
        <v>54643.610423414611</v>
      </c>
      <c r="S384" s="44">
        <v>24867.269104390176</v>
      </c>
      <c r="T384" s="44">
        <v>2736.204632195122</v>
      </c>
      <c r="U384" s="44">
        <v>0</v>
      </c>
      <c r="V384" s="44">
        <v>0</v>
      </c>
      <c r="W384" s="44">
        <v>0</v>
      </c>
      <c r="X384" s="44">
        <v>0</v>
      </c>
      <c r="Y384" s="44">
        <v>0</v>
      </c>
      <c r="Z384" s="44">
        <v>0</v>
      </c>
      <c r="AA384" s="44">
        <v>54458.782017280391</v>
      </c>
      <c r="AB384" s="44">
        <v>0</v>
      </c>
      <c r="AC384" s="44">
        <v>171634.52777180559</v>
      </c>
      <c r="AD384" s="44">
        <v>0</v>
      </c>
      <c r="AE384" s="44">
        <v>10209.167664000001</v>
      </c>
      <c r="AF384" s="44">
        <v>0</v>
      </c>
      <c r="AG384" s="44">
        <v>138243.54</v>
      </c>
      <c r="AH384" s="44">
        <v>0</v>
      </c>
      <c r="AI384" s="44">
        <v>0</v>
      </c>
      <c r="AJ384" s="44">
        <v>0</v>
      </c>
      <c r="AK384" s="44">
        <v>22598.622299999999</v>
      </c>
      <c r="AL384" s="44">
        <v>0</v>
      </c>
      <c r="AM384" s="44">
        <v>0</v>
      </c>
      <c r="AN384" s="44">
        <v>0</v>
      </c>
      <c r="AO384" s="44">
        <v>0</v>
      </c>
      <c r="AP384" s="44">
        <v>0</v>
      </c>
      <c r="AQ384" s="44">
        <v>0</v>
      </c>
      <c r="AR384" s="44">
        <v>0</v>
      </c>
      <c r="AS384" s="44">
        <v>0</v>
      </c>
      <c r="AT384" s="44">
        <v>1469120.5685999999</v>
      </c>
      <c r="AU384" s="44">
        <v>588390.36069528118</v>
      </c>
      <c r="AV384" s="44">
        <v>160842.1623</v>
      </c>
      <c r="AW384" s="44">
        <v>421134.49782290321</v>
      </c>
      <c r="AX384" s="62">
        <v>2218353.0915952809</v>
      </c>
      <c r="AY384" s="62">
        <v>2195754.469295281</v>
      </c>
      <c r="AZ384" s="62">
        <v>4610</v>
      </c>
      <c r="BA384" s="62">
        <v>1894710</v>
      </c>
      <c r="BB384" s="62">
        <v>0</v>
      </c>
      <c r="BC384" s="62">
        <v>0</v>
      </c>
      <c r="BD384" s="62">
        <v>2218353.0915952809</v>
      </c>
      <c r="BE384" s="44">
        <v>2218353.0915952814</v>
      </c>
      <c r="BF384" s="44">
        <v>0</v>
      </c>
      <c r="BG384" s="62">
        <v>1917308.6222999999</v>
      </c>
      <c r="BH384" s="62">
        <v>1756466.46</v>
      </c>
      <c r="BI384" s="44">
        <v>2057510.9292952809</v>
      </c>
      <c r="BJ384" s="44">
        <v>5006.1093170201484</v>
      </c>
      <c r="BK384" s="44">
        <v>4885.1121200968528</v>
      </c>
      <c r="BL384" s="45">
        <v>2.4768560874074006E-2</v>
      </c>
      <c r="BM384" s="45">
        <v>0</v>
      </c>
      <c r="BN384" s="44">
        <v>0</v>
      </c>
      <c r="BO384" s="62">
        <v>2218353.0915952809</v>
      </c>
      <c r="BP384" s="62">
        <v>5342.4682951223385</v>
      </c>
      <c r="BQ384" s="62" t="s">
        <v>92</v>
      </c>
      <c r="BR384" s="62">
        <v>5397.4527776040895</v>
      </c>
      <c r="BS384" s="53">
        <v>2.3608352492931362E-2</v>
      </c>
      <c r="BT384" s="44">
        <v>0</v>
      </c>
      <c r="BU384" s="44">
        <v>2218353.0915952809</v>
      </c>
      <c r="BV384" s="44">
        <v>0</v>
      </c>
      <c r="BW384" s="44">
        <v>2218353.0915952809</v>
      </c>
      <c r="BX384" s="44">
        <v>22598.622299999999</v>
      </c>
      <c r="BY384" s="44">
        <v>2195754.469295281</v>
      </c>
    </row>
    <row r="385" spans="1:77">
      <c r="A385">
        <v>0</v>
      </c>
      <c r="B385" s="60">
        <v>150320</v>
      </c>
      <c r="C385" s="60">
        <v>3305415</v>
      </c>
      <c r="D385" s="61" t="s">
        <v>1090</v>
      </c>
      <c r="E385" s="52">
        <v>811</v>
      </c>
      <c r="F385" s="52">
        <v>0</v>
      </c>
      <c r="G385" s="52">
        <v>811</v>
      </c>
      <c r="H385" s="44">
        <v>0</v>
      </c>
      <c r="I385" s="44">
        <v>2439179.5647999998</v>
      </c>
      <c r="J385" s="44">
        <v>1857644.5227000001</v>
      </c>
      <c r="K385" s="44">
        <v>0</v>
      </c>
      <c r="L385" s="44">
        <v>111128.69740000003</v>
      </c>
      <c r="M385" s="44">
        <v>0</v>
      </c>
      <c r="N385" s="44">
        <v>297440.36400000023</v>
      </c>
      <c r="O385" s="44">
        <v>0</v>
      </c>
      <c r="P385" s="44">
        <v>0</v>
      </c>
      <c r="Q385" s="44">
        <v>0</v>
      </c>
      <c r="R385" s="44">
        <v>0</v>
      </c>
      <c r="S385" s="44">
        <v>0</v>
      </c>
      <c r="T385" s="44">
        <v>0</v>
      </c>
      <c r="U385" s="44">
        <v>8871.028399999992</v>
      </c>
      <c r="V385" s="44">
        <v>53737.96050000011</v>
      </c>
      <c r="W385" s="44">
        <v>22759.606799999987</v>
      </c>
      <c r="X385" s="44">
        <v>27696.876000000011</v>
      </c>
      <c r="Y385" s="44">
        <v>63120.778999999777</v>
      </c>
      <c r="Z385" s="44">
        <v>82503.570299999672</v>
      </c>
      <c r="AA385" s="44">
        <v>0</v>
      </c>
      <c r="AB385" s="44">
        <v>27106.423012484502</v>
      </c>
      <c r="AC385" s="44">
        <v>0</v>
      </c>
      <c r="AD385" s="44">
        <v>296776.01163926796</v>
      </c>
      <c r="AE385" s="44">
        <v>0</v>
      </c>
      <c r="AF385" s="44">
        <v>0</v>
      </c>
      <c r="AG385" s="44">
        <v>138243.54</v>
      </c>
      <c r="AH385" s="44">
        <v>0</v>
      </c>
      <c r="AI385" s="44">
        <v>0</v>
      </c>
      <c r="AJ385" s="44">
        <v>0</v>
      </c>
      <c r="AK385" s="44">
        <v>23337.286800000002</v>
      </c>
      <c r="AL385" s="44">
        <v>0</v>
      </c>
      <c r="AM385" s="44">
        <v>0</v>
      </c>
      <c r="AN385" s="44">
        <v>0</v>
      </c>
      <c r="AO385" s="44">
        <v>0</v>
      </c>
      <c r="AP385" s="44">
        <v>0</v>
      </c>
      <c r="AQ385" s="44">
        <v>0</v>
      </c>
      <c r="AR385" s="44">
        <v>0</v>
      </c>
      <c r="AS385" s="44">
        <v>0</v>
      </c>
      <c r="AT385" s="44">
        <v>4296824.0875000004</v>
      </c>
      <c r="AU385" s="44">
        <v>991141.31705175224</v>
      </c>
      <c r="AV385" s="44">
        <v>161580.82680000001</v>
      </c>
      <c r="AW385" s="44">
        <v>845246.65721426788</v>
      </c>
      <c r="AX385" s="62">
        <v>5449546.2313517528</v>
      </c>
      <c r="AY385" s="62">
        <v>5426208.9445517529</v>
      </c>
      <c r="AZ385" s="62">
        <v>5995</v>
      </c>
      <c r="BA385" s="62">
        <v>4861945</v>
      </c>
      <c r="BB385" s="62">
        <v>0</v>
      </c>
      <c r="BC385" s="62">
        <v>0</v>
      </c>
      <c r="BD385" s="62">
        <v>5449546.2313517528</v>
      </c>
      <c r="BE385" s="44">
        <v>0</v>
      </c>
      <c r="BF385" s="44">
        <v>5449546.2313517537</v>
      </c>
      <c r="BG385" s="62">
        <v>4885282.2867999999</v>
      </c>
      <c r="BH385" s="62">
        <v>4723701.46</v>
      </c>
      <c r="BI385" s="44">
        <v>5287965.4045517528</v>
      </c>
      <c r="BJ385" s="44">
        <v>6520.3025950083265</v>
      </c>
      <c r="BK385" s="44">
        <v>6396.0740084814479</v>
      </c>
      <c r="BL385" s="45">
        <v>1.9422631189405657E-2</v>
      </c>
      <c r="BM385" s="45">
        <v>0</v>
      </c>
      <c r="BN385" s="44">
        <v>0</v>
      </c>
      <c r="BO385" s="62">
        <v>5449546.2313517528</v>
      </c>
      <c r="BP385" s="62">
        <v>6690.7631868702256</v>
      </c>
      <c r="BQ385" s="62" t="s">
        <v>92</v>
      </c>
      <c r="BR385" s="62">
        <v>6719.5391262043804</v>
      </c>
      <c r="BS385" s="53">
        <v>7.7324000785887748E-3</v>
      </c>
      <c r="BT385" s="44">
        <v>0</v>
      </c>
      <c r="BU385" s="44">
        <v>5449546.2313517528</v>
      </c>
      <c r="BV385" s="44">
        <v>0</v>
      </c>
      <c r="BW385" s="44">
        <v>5449546.2313517528</v>
      </c>
      <c r="BX385" s="44">
        <v>23337.286800000002</v>
      </c>
      <c r="BY385" s="44">
        <v>5426208.9445517529</v>
      </c>
    </row>
    <row r="386" spans="1:77">
      <c r="A386">
        <v>0</v>
      </c>
      <c r="B386" s="60" t="s">
        <v>74</v>
      </c>
      <c r="C386" s="60" t="s">
        <v>74</v>
      </c>
      <c r="D386" s="61" t="s">
        <v>74</v>
      </c>
      <c r="E386" s="52" t="s">
        <v>74</v>
      </c>
      <c r="F386" s="52" t="s">
        <v>74</v>
      </c>
      <c r="G386" s="52" t="s">
        <v>74</v>
      </c>
      <c r="H386" s="44" t="s">
        <v>74</v>
      </c>
      <c r="I386" s="44" t="s">
        <v>74</v>
      </c>
      <c r="J386" s="44" t="s">
        <v>74</v>
      </c>
      <c r="K386" s="44" t="s">
        <v>74</v>
      </c>
      <c r="L386" s="44" t="s">
        <v>74</v>
      </c>
      <c r="M386" s="44" t="s">
        <v>74</v>
      </c>
      <c r="N386" s="44" t="s">
        <v>74</v>
      </c>
      <c r="O386" s="44" t="s">
        <v>74</v>
      </c>
      <c r="P386" s="44" t="s">
        <v>74</v>
      </c>
      <c r="Q386" s="44" t="s">
        <v>74</v>
      </c>
      <c r="R386" s="44" t="s">
        <v>74</v>
      </c>
      <c r="S386" s="44" t="s">
        <v>74</v>
      </c>
      <c r="T386" s="44" t="s">
        <v>74</v>
      </c>
      <c r="U386" s="44" t="s">
        <v>74</v>
      </c>
      <c r="V386" s="44" t="s">
        <v>74</v>
      </c>
      <c r="W386" s="44" t="s">
        <v>74</v>
      </c>
      <c r="X386" s="44" t="s">
        <v>74</v>
      </c>
      <c r="Y386" s="44" t="s">
        <v>74</v>
      </c>
      <c r="Z386" s="44" t="s">
        <v>74</v>
      </c>
      <c r="AA386" s="44" t="s">
        <v>74</v>
      </c>
      <c r="AB386" s="44" t="s">
        <v>74</v>
      </c>
      <c r="AC386" s="44" t="s">
        <v>74</v>
      </c>
      <c r="AD386" s="44" t="s">
        <v>74</v>
      </c>
      <c r="AE386" s="44" t="s">
        <v>74</v>
      </c>
      <c r="AF386" s="44" t="s">
        <v>74</v>
      </c>
      <c r="AG386" s="44" t="s">
        <v>74</v>
      </c>
      <c r="AH386" s="44" t="s">
        <v>74</v>
      </c>
      <c r="AI386" s="44" t="s">
        <v>74</v>
      </c>
      <c r="AJ386" s="44" t="s">
        <v>74</v>
      </c>
      <c r="AK386" s="44" t="s">
        <v>74</v>
      </c>
      <c r="AL386" s="44" t="s">
        <v>74</v>
      </c>
      <c r="AM386" s="44" t="s">
        <v>74</v>
      </c>
      <c r="AN386" s="44" t="s">
        <v>74</v>
      </c>
      <c r="AO386" s="44" t="s">
        <v>74</v>
      </c>
      <c r="AP386" s="44" t="s">
        <v>74</v>
      </c>
      <c r="AQ386" s="44" t="s">
        <v>74</v>
      </c>
      <c r="AR386" s="44" t="s">
        <v>74</v>
      </c>
      <c r="AS386" s="44" t="s">
        <v>74</v>
      </c>
      <c r="AT386" s="44" t="s">
        <v>74</v>
      </c>
      <c r="AU386" s="44" t="s">
        <v>74</v>
      </c>
      <c r="AV386" s="44" t="s">
        <v>74</v>
      </c>
      <c r="AW386" s="44" t="s">
        <v>74</v>
      </c>
      <c r="AX386" s="62" t="s">
        <v>74</v>
      </c>
      <c r="AY386" s="62" t="s">
        <v>74</v>
      </c>
      <c r="AZ386" s="62" t="s">
        <v>74</v>
      </c>
      <c r="BA386" s="62" t="s">
        <v>74</v>
      </c>
      <c r="BB386" s="62" t="s">
        <v>74</v>
      </c>
      <c r="BC386" s="62" t="s">
        <v>74</v>
      </c>
      <c r="BD386" s="62" t="s">
        <v>74</v>
      </c>
      <c r="BE386" s="44" t="s">
        <v>74</v>
      </c>
      <c r="BF386" s="44" t="s">
        <v>74</v>
      </c>
      <c r="BG386" s="62" t="s">
        <v>74</v>
      </c>
      <c r="BH386" s="62" t="s">
        <v>74</v>
      </c>
      <c r="BI386" s="44" t="s">
        <v>74</v>
      </c>
      <c r="BJ386" s="44" t="s">
        <v>74</v>
      </c>
      <c r="BK386" s="44" t="s">
        <v>74</v>
      </c>
      <c r="BL386" s="45" t="s">
        <v>74</v>
      </c>
      <c r="BM386" s="45" t="s">
        <v>74</v>
      </c>
      <c r="BN386" s="44" t="s">
        <v>74</v>
      </c>
      <c r="BO386" s="62" t="s">
        <v>74</v>
      </c>
      <c r="BP386" s="62" t="s">
        <v>74</v>
      </c>
      <c r="BQ386" s="62" t="s">
        <v>74</v>
      </c>
      <c r="BR386" s="62" t="s">
        <v>74</v>
      </c>
      <c r="BS386" s="53" t="s">
        <v>74</v>
      </c>
      <c r="BT386" s="44" t="s">
        <v>74</v>
      </c>
      <c r="BU386" s="44" t="s">
        <v>74</v>
      </c>
      <c r="BV386" s="44" t="s">
        <v>74</v>
      </c>
      <c r="BW386" s="44" t="s">
        <v>74</v>
      </c>
      <c r="BX386" s="44" t="s">
        <v>74</v>
      </c>
      <c r="BY386" s="44" t="s">
        <v>74</v>
      </c>
    </row>
    <row r="387" spans="1:77">
      <c r="A387">
        <v>0</v>
      </c>
      <c r="B387" s="60" t="s">
        <v>74</v>
      </c>
      <c r="C387" s="60" t="s">
        <v>74</v>
      </c>
      <c r="D387" s="61" t="s">
        <v>74</v>
      </c>
      <c r="E387" s="52" t="s">
        <v>74</v>
      </c>
      <c r="F387" s="52" t="s">
        <v>74</v>
      </c>
      <c r="G387" s="52" t="s">
        <v>74</v>
      </c>
      <c r="H387" s="44" t="s">
        <v>74</v>
      </c>
      <c r="I387" s="44" t="s">
        <v>74</v>
      </c>
      <c r="J387" s="44" t="s">
        <v>74</v>
      </c>
      <c r="K387" s="44" t="s">
        <v>74</v>
      </c>
      <c r="L387" s="44" t="s">
        <v>74</v>
      </c>
      <c r="M387" s="44" t="s">
        <v>74</v>
      </c>
      <c r="N387" s="44" t="s">
        <v>74</v>
      </c>
      <c r="O387" s="44" t="s">
        <v>74</v>
      </c>
      <c r="P387" s="44" t="s">
        <v>74</v>
      </c>
      <c r="Q387" s="44" t="s">
        <v>74</v>
      </c>
      <c r="R387" s="44" t="s">
        <v>74</v>
      </c>
      <c r="S387" s="44" t="s">
        <v>74</v>
      </c>
      <c r="T387" s="44" t="s">
        <v>74</v>
      </c>
      <c r="U387" s="44" t="s">
        <v>74</v>
      </c>
      <c r="V387" s="44" t="s">
        <v>74</v>
      </c>
      <c r="W387" s="44" t="s">
        <v>74</v>
      </c>
      <c r="X387" s="44" t="s">
        <v>74</v>
      </c>
      <c r="Y387" s="44" t="s">
        <v>74</v>
      </c>
      <c r="Z387" s="44" t="s">
        <v>74</v>
      </c>
      <c r="AA387" s="44" t="s">
        <v>74</v>
      </c>
      <c r="AB387" s="44" t="s">
        <v>74</v>
      </c>
      <c r="AC387" s="44" t="s">
        <v>74</v>
      </c>
      <c r="AD387" s="44" t="s">
        <v>74</v>
      </c>
      <c r="AE387" s="44" t="s">
        <v>74</v>
      </c>
      <c r="AF387" s="44" t="s">
        <v>74</v>
      </c>
      <c r="AG387" s="44" t="s">
        <v>74</v>
      </c>
      <c r="AH387" s="44" t="s">
        <v>74</v>
      </c>
      <c r="AI387" s="44" t="s">
        <v>74</v>
      </c>
      <c r="AJ387" s="44" t="s">
        <v>74</v>
      </c>
      <c r="AK387" s="44" t="s">
        <v>74</v>
      </c>
      <c r="AL387" s="44" t="s">
        <v>74</v>
      </c>
      <c r="AM387" s="44" t="s">
        <v>74</v>
      </c>
      <c r="AN387" s="44" t="s">
        <v>74</v>
      </c>
      <c r="AO387" s="44" t="s">
        <v>74</v>
      </c>
      <c r="AP387" s="44" t="s">
        <v>74</v>
      </c>
      <c r="AQ387" s="44" t="s">
        <v>74</v>
      </c>
      <c r="AR387" s="44" t="s">
        <v>74</v>
      </c>
      <c r="AS387" s="44" t="s">
        <v>74</v>
      </c>
      <c r="AT387" s="44" t="s">
        <v>74</v>
      </c>
      <c r="AU387" s="44" t="s">
        <v>74</v>
      </c>
      <c r="AV387" s="44" t="s">
        <v>74</v>
      </c>
      <c r="AW387" s="44" t="s">
        <v>74</v>
      </c>
      <c r="AX387" s="62" t="s">
        <v>74</v>
      </c>
      <c r="AY387" s="62" t="s">
        <v>74</v>
      </c>
      <c r="AZ387" s="62" t="s">
        <v>74</v>
      </c>
      <c r="BA387" s="62" t="s">
        <v>74</v>
      </c>
      <c r="BB387" s="62" t="s">
        <v>74</v>
      </c>
      <c r="BC387" s="62" t="s">
        <v>74</v>
      </c>
      <c r="BD387" s="62" t="s">
        <v>74</v>
      </c>
      <c r="BE387" s="44" t="s">
        <v>74</v>
      </c>
      <c r="BF387" s="44" t="s">
        <v>74</v>
      </c>
      <c r="BG387" s="62" t="s">
        <v>74</v>
      </c>
      <c r="BH387" s="62" t="s">
        <v>74</v>
      </c>
      <c r="BI387" s="44" t="s">
        <v>74</v>
      </c>
      <c r="BJ387" s="44" t="s">
        <v>74</v>
      </c>
      <c r="BK387" s="44" t="s">
        <v>74</v>
      </c>
      <c r="BL387" s="45" t="s">
        <v>74</v>
      </c>
      <c r="BM387" s="45" t="s">
        <v>74</v>
      </c>
      <c r="BN387" s="44" t="s">
        <v>74</v>
      </c>
      <c r="BO387" s="62" t="s">
        <v>74</v>
      </c>
      <c r="BP387" s="62" t="s">
        <v>74</v>
      </c>
      <c r="BQ387" s="62" t="s">
        <v>74</v>
      </c>
      <c r="BR387" s="62" t="s">
        <v>74</v>
      </c>
      <c r="BS387" s="53" t="s">
        <v>74</v>
      </c>
      <c r="BT387" s="44" t="s">
        <v>74</v>
      </c>
      <c r="BU387" s="44" t="s">
        <v>74</v>
      </c>
      <c r="BV387" s="44" t="s">
        <v>74</v>
      </c>
      <c r="BW387" s="44" t="s">
        <v>74</v>
      </c>
      <c r="BX387" s="44" t="s">
        <v>74</v>
      </c>
      <c r="BY387" s="44" t="s">
        <v>74</v>
      </c>
    </row>
    <row r="388" spans="1:77">
      <c r="A388">
        <v>0</v>
      </c>
      <c r="B388" s="60" t="s">
        <v>74</v>
      </c>
      <c r="C388" s="60" t="s">
        <v>74</v>
      </c>
      <c r="D388" s="61" t="s">
        <v>74</v>
      </c>
      <c r="E388" s="52" t="s">
        <v>74</v>
      </c>
      <c r="F388" s="52" t="s">
        <v>74</v>
      </c>
      <c r="G388" s="52" t="s">
        <v>74</v>
      </c>
      <c r="H388" s="44" t="s">
        <v>74</v>
      </c>
      <c r="I388" s="44" t="s">
        <v>74</v>
      </c>
      <c r="J388" s="44" t="s">
        <v>74</v>
      </c>
      <c r="K388" s="44" t="s">
        <v>74</v>
      </c>
      <c r="L388" s="44" t="s">
        <v>74</v>
      </c>
      <c r="M388" s="44" t="s">
        <v>74</v>
      </c>
      <c r="N388" s="44" t="s">
        <v>74</v>
      </c>
      <c r="O388" s="44" t="s">
        <v>74</v>
      </c>
      <c r="P388" s="44" t="s">
        <v>74</v>
      </c>
      <c r="Q388" s="44" t="s">
        <v>74</v>
      </c>
      <c r="R388" s="44" t="s">
        <v>74</v>
      </c>
      <c r="S388" s="44" t="s">
        <v>74</v>
      </c>
      <c r="T388" s="44" t="s">
        <v>74</v>
      </c>
      <c r="U388" s="44" t="s">
        <v>74</v>
      </c>
      <c r="V388" s="44" t="s">
        <v>74</v>
      </c>
      <c r="W388" s="44" t="s">
        <v>74</v>
      </c>
      <c r="X388" s="44" t="s">
        <v>74</v>
      </c>
      <c r="Y388" s="44" t="s">
        <v>74</v>
      </c>
      <c r="Z388" s="44" t="s">
        <v>74</v>
      </c>
      <c r="AA388" s="44" t="s">
        <v>74</v>
      </c>
      <c r="AB388" s="44" t="s">
        <v>74</v>
      </c>
      <c r="AC388" s="44" t="s">
        <v>74</v>
      </c>
      <c r="AD388" s="44" t="s">
        <v>74</v>
      </c>
      <c r="AE388" s="44" t="s">
        <v>74</v>
      </c>
      <c r="AF388" s="44" t="s">
        <v>74</v>
      </c>
      <c r="AG388" s="44" t="s">
        <v>74</v>
      </c>
      <c r="AH388" s="44" t="s">
        <v>74</v>
      </c>
      <c r="AI388" s="44" t="s">
        <v>74</v>
      </c>
      <c r="AJ388" s="44" t="s">
        <v>74</v>
      </c>
      <c r="AK388" s="44" t="s">
        <v>74</v>
      </c>
      <c r="AL388" s="44" t="s">
        <v>74</v>
      </c>
      <c r="AM388" s="44" t="s">
        <v>74</v>
      </c>
      <c r="AN388" s="44" t="s">
        <v>74</v>
      </c>
      <c r="AO388" s="44" t="s">
        <v>74</v>
      </c>
      <c r="AP388" s="44" t="s">
        <v>74</v>
      </c>
      <c r="AQ388" s="44" t="s">
        <v>74</v>
      </c>
      <c r="AR388" s="44" t="s">
        <v>74</v>
      </c>
      <c r="AS388" s="44" t="s">
        <v>74</v>
      </c>
      <c r="AT388" s="44" t="s">
        <v>74</v>
      </c>
      <c r="AU388" s="44" t="s">
        <v>74</v>
      </c>
      <c r="AV388" s="44" t="s">
        <v>74</v>
      </c>
      <c r="AW388" s="44" t="s">
        <v>74</v>
      </c>
      <c r="AX388" s="62" t="s">
        <v>74</v>
      </c>
      <c r="AY388" s="62" t="s">
        <v>74</v>
      </c>
      <c r="AZ388" s="62" t="s">
        <v>74</v>
      </c>
      <c r="BA388" s="62" t="s">
        <v>74</v>
      </c>
      <c r="BB388" s="62" t="s">
        <v>74</v>
      </c>
      <c r="BC388" s="62" t="s">
        <v>74</v>
      </c>
      <c r="BD388" s="62" t="s">
        <v>74</v>
      </c>
      <c r="BE388" s="44" t="s">
        <v>74</v>
      </c>
      <c r="BF388" s="44" t="s">
        <v>74</v>
      </c>
      <c r="BG388" s="62" t="s">
        <v>74</v>
      </c>
      <c r="BH388" s="62" t="s">
        <v>74</v>
      </c>
      <c r="BI388" s="44" t="s">
        <v>74</v>
      </c>
      <c r="BJ388" s="44" t="s">
        <v>74</v>
      </c>
      <c r="BK388" s="44" t="s">
        <v>74</v>
      </c>
      <c r="BL388" s="45" t="s">
        <v>74</v>
      </c>
      <c r="BM388" s="45" t="s">
        <v>74</v>
      </c>
      <c r="BN388" s="44" t="s">
        <v>74</v>
      </c>
      <c r="BO388" s="62" t="s">
        <v>74</v>
      </c>
      <c r="BP388" s="62" t="s">
        <v>74</v>
      </c>
      <c r="BQ388" s="62" t="s">
        <v>74</v>
      </c>
      <c r="BR388" s="62" t="s">
        <v>74</v>
      </c>
      <c r="BS388" s="53" t="s">
        <v>74</v>
      </c>
      <c r="BT388" s="44" t="s">
        <v>74</v>
      </c>
      <c r="BU388" s="44" t="s">
        <v>74</v>
      </c>
      <c r="BV388" s="44" t="s">
        <v>74</v>
      </c>
      <c r="BW388" s="44" t="s">
        <v>74</v>
      </c>
      <c r="BX388" s="44" t="s">
        <v>74</v>
      </c>
      <c r="BY388" s="44" t="s">
        <v>74</v>
      </c>
    </row>
    <row r="389" spans="1:77">
      <c r="A389">
        <v>0</v>
      </c>
      <c r="B389" s="60" t="s">
        <v>74</v>
      </c>
      <c r="C389" s="60" t="s">
        <v>74</v>
      </c>
      <c r="D389" s="61" t="s">
        <v>74</v>
      </c>
      <c r="E389" s="52" t="s">
        <v>74</v>
      </c>
      <c r="F389" s="52" t="s">
        <v>74</v>
      </c>
      <c r="G389" s="52" t="s">
        <v>74</v>
      </c>
      <c r="H389" s="44" t="s">
        <v>74</v>
      </c>
      <c r="I389" s="44" t="s">
        <v>74</v>
      </c>
      <c r="J389" s="44" t="s">
        <v>74</v>
      </c>
      <c r="K389" s="44" t="s">
        <v>74</v>
      </c>
      <c r="L389" s="44" t="s">
        <v>74</v>
      </c>
      <c r="M389" s="44" t="s">
        <v>74</v>
      </c>
      <c r="N389" s="44" t="s">
        <v>74</v>
      </c>
      <c r="O389" s="44" t="s">
        <v>74</v>
      </c>
      <c r="P389" s="44" t="s">
        <v>74</v>
      </c>
      <c r="Q389" s="44" t="s">
        <v>74</v>
      </c>
      <c r="R389" s="44" t="s">
        <v>74</v>
      </c>
      <c r="S389" s="44" t="s">
        <v>74</v>
      </c>
      <c r="T389" s="44" t="s">
        <v>74</v>
      </c>
      <c r="U389" s="44" t="s">
        <v>74</v>
      </c>
      <c r="V389" s="44" t="s">
        <v>74</v>
      </c>
      <c r="W389" s="44" t="s">
        <v>74</v>
      </c>
      <c r="X389" s="44" t="s">
        <v>74</v>
      </c>
      <c r="Y389" s="44" t="s">
        <v>74</v>
      </c>
      <c r="Z389" s="44" t="s">
        <v>74</v>
      </c>
      <c r="AA389" s="44" t="s">
        <v>74</v>
      </c>
      <c r="AB389" s="44" t="s">
        <v>74</v>
      </c>
      <c r="AC389" s="44" t="s">
        <v>74</v>
      </c>
      <c r="AD389" s="44" t="s">
        <v>74</v>
      </c>
      <c r="AE389" s="44" t="s">
        <v>74</v>
      </c>
      <c r="AF389" s="44" t="s">
        <v>74</v>
      </c>
      <c r="AG389" s="44" t="s">
        <v>74</v>
      </c>
      <c r="AH389" s="44" t="s">
        <v>74</v>
      </c>
      <c r="AI389" s="44" t="s">
        <v>74</v>
      </c>
      <c r="AJ389" s="44" t="s">
        <v>74</v>
      </c>
      <c r="AK389" s="44" t="s">
        <v>74</v>
      </c>
      <c r="AL389" s="44" t="s">
        <v>74</v>
      </c>
      <c r="AM389" s="44" t="s">
        <v>74</v>
      </c>
      <c r="AN389" s="44" t="s">
        <v>74</v>
      </c>
      <c r="AO389" s="44" t="s">
        <v>74</v>
      </c>
      <c r="AP389" s="44" t="s">
        <v>74</v>
      </c>
      <c r="AQ389" s="44" t="s">
        <v>74</v>
      </c>
      <c r="AR389" s="44" t="s">
        <v>74</v>
      </c>
      <c r="AS389" s="44" t="s">
        <v>74</v>
      </c>
      <c r="AT389" s="44" t="s">
        <v>74</v>
      </c>
      <c r="AU389" s="44" t="s">
        <v>74</v>
      </c>
      <c r="AV389" s="44" t="s">
        <v>74</v>
      </c>
      <c r="AW389" s="44" t="s">
        <v>74</v>
      </c>
      <c r="AX389" s="62" t="s">
        <v>74</v>
      </c>
      <c r="AY389" s="62" t="s">
        <v>74</v>
      </c>
      <c r="AZ389" s="62" t="s">
        <v>74</v>
      </c>
      <c r="BA389" s="62" t="s">
        <v>74</v>
      </c>
      <c r="BB389" s="62" t="s">
        <v>74</v>
      </c>
      <c r="BC389" s="62" t="s">
        <v>74</v>
      </c>
      <c r="BD389" s="62" t="s">
        <v>74</v>
      </c>
      <c r="BE389" s="44" t="s">
        <v>74</v>
      </c>
      <c r="BF389" s="44" t="s">
        <v>74</v>
      </c>
      <c r="BG389" s="62" t="s">
        <v>74</v>
      </c>
      <c r="BH389" s="62" t="s">
        <v>74</v>
      </c>
      <c r="BI389" s="44" t="s">
        <v>74</v>
      </c>
      <c r="BJ389" s="44" t="s">
        <v>74</v>
      </c>
      <c r="BK389" s="44" t="s">
        <v>74</v>
      </c>
      <c r="BL389" s="45" t="s">
        <v>74</v>
      </c>
      <c r="BM389" s="45" t="s">
        <v>74</v>
      </c>
      <c r="BN389" s="44" t="s">
        <v>74</v>
      </c>
      <c r="BO389" s="62" t="s">
        <v>74</v>
      </c>
      <c r="BP389" s="62" t="s">
        <v>74</v>
      </c>
      <c r="BQ389" s="62" t="s">
        <v>74</v>
      </c>
      <c r="BR389" s="62" t="s">
        <v>74</v>
      </c>
      <c r="BS389" s="53" t="s">
        <v>74</v>
      </c>
      <c r="BT389" s="44" t="s">
        <v>74</v>
      </c>
      <c r="BU389" s="44" t="s">
        <v>74</v>
      </c>
      <c r="BV389" s="44" t="s">
        <v>74</v>
      </c>
      <c r="BW389" s="44" t="s">
        <v>74</v>
      </c>
      <c r="BX389" s="44" t="s">
        <v>74</v>
      </c>
      <c r="BY389" s="44" t="s">
        <v>74</v>
      </c>
    </row>
    <row r="390" spans="1:77">
      <c r="A390">
        <v>0</v>
      </c>
      <c r="B390" s="60" t="s">
        <v>74</v>
      </c>
      <c r="C390" s="60" t="s">
        <v>74</v>
      </c>
      <c r="D390" s="61" t="s">
        <v>74</v>
      </c>
      <c r="E390" s="52" t="s">
        <v>74</v>
      </c>
      <c r="F390" s="52" t="s">
        <v>74</v>
      </c>
      <c r="G390" s="52" t="s">
        <v>74</v>
      </c>
      <c r="H390" s="44" t="s">
        <v>74</v>
      </c>
      <c r="I390" s="44" t="s">
        <v>74</v>
      </c>
      <c r="J390" s="44" t="s">
        <v>74</v>
      </c>
      <c r="K390" s="44" t="s">
        <v>74</v>
      </c>
      <c r="L390" s="44" t="s">
        <v>74</v>
      </c>
      <c r="M390" s="44" t="s">
        <v>74</v>
      </c>
      <c r="N390" s="44" t="s">
        <v>74</v>
      </c>
      <c r="O390" s="44" t="s">
        <v>74</v>
      </c>
      <c r="P390" s="44" t="s">
        <v>74</v>
      </c>
      <c r="Q390" s="44" t="s">
        <v>74</v>
      </c>
      <c r="R390" s="44" t="s">
        <v>74</v>
      </c>
      <c r="S390" s="44" t="s">
        <v>74</v>
      </c>
      <c r="T390" s="44" t="s">
        <v>74</v>
      </c>
      <c r="U390" s="44" t="s">
        <v>74</v>
      </c>
      <c r="V390" s="44" t="s">
        <v>74</v>
      </c>
      <c r="W390" s="44" t="s">
        <v>74</v>
      </c>
      <c r="X390" s="44" t="s">
        <v>74</v>
      </c>
      <c r="Y390" s="44" t="s">
        <v>74</v>
      </c>
      <c r="Z390" s="44" t="s">
        <v>74</v>
      </c>
      <c r="AA390" s="44" t="s">
        <v>74</v>
      </c>
      <c r="AB390" s="44" t="s">
        <v>74</v>
      </c>
      <c r="AC390" s="44" t="s">
        <v>74</v>
      </c>
      <c r="AD390" s="44" t="s">
        <v>74</v>
      </c>
      <c r="AE390" s="44" t="s">
        <v>74</v>
      </c>
      <c r="AF390" s="44" t="s">
        <v>74</v>
      </c>
      <c r="AG390" s="44" t="s">
        <v>74</v>
      </c>
      <c r="AH390" s="44" t="s">
        <v>74</v>
      </c>
      <c r="AI390" s="44" t="s">
        <v>74</v>
      </c>
      <c r="AJ390" s="44" t="s">
        <v>74</v>
      </c>
      <c r="AK390" s="44" t="s">
        <v>74</v>
      </c>
      <c r="AL390" s="44" t="s">
        <v>74</v>
      </c>
      <c r="AM390" s="44" t="s">
        <v>74</v>
      </c>
      <c r="AN390" s="44" t="s">
        <v>74</v>
      </c>
      <c r="AO390" s="44" t="s">
        <v>74</v>
      </c>
      <c r="AP390" s="44" t="s">
        <v>74</v>
      </c>
      <c r="AQ390" s="44" t="s">
        <v>74</v>
      </c>
      <c r="AR390" s="44" t="s">
        <v>74</v>
      </c>
      <c r="AS390" s="44" t="s">
        <v>74</v>
      </c>
      <c r="AT390" s="44" t="s">
        <v>74</v>
      </c>
      <c r="AU390" s="44" t="s">
        <v>74</v>
      </c>
      <c r="AV390" s="44" t="s">
        <v>74</v>
      </c>
      <c r="AW390" s="44" t="s">
        <v>74</v>
      </c>
      <c r="AX390" s="62" t="s">
        <v>74</v>
      </c>
      <c r="AY390" s="62" t="s">
        <v>74</v>
      </c>
      <c r="AZ390" s="62" t="s">
        <v>74</v>
      </c>
      <c r="BA390" s="62" t="s">
        <v>74</v>
      </c>
      <c r="BB390" s="62" t="s">
        <v>74</v>
      </c>
      <c r="BC390" s="62" t="s">
        <v>74</v>
      </c>
      <c r="BD390" s="62" t="s">
        <v>74</v>
      </c>
      <c r="BE390" s="44" t="s">
        <v>74</v>
      </c>
      <c r="BF390" s="44" t="s">
        <v>74</v>
      </c>
      <c r="BG390" s="62" t="s">
        <v>74</v>
      </c>
      <c r="BH390" s="62" t="s">
        <v>74</v>
      </c>
      <c r="BI390" s="44" t="s">
        <v>74</v>
      </c>
      <c r="BJ390" s="44" t="s">
        <v>74</v>
      </c>
      <c r="BK390" s="44" t="s">
        <v>74</v>
      </c>
      <c r="BL390" s="45" t="s">
        <v>74</v>
      </c>
      <c r="BM390" s="45" t="s">
        <v>74</v>
      </c>
      <c r="BN390" s="44" t="s">
        <v>74</v>
      </c>
      <c r="BO390" s="62" t="s">
        <v>74</v>
      </c>
      <c r="BP390" s="62" t="s">
        <v>74</v>
      </c>
      <c r="BQ390" s="62" t="s">
        <v>74</v>
      </c>
      <c r="BR390" s="62" t="s">
        <v>74</v>
      </c>
      <c r="BS390" s="53" t="s">
        <v>74</v>
      </c>
      <c r="BT390" s="44" t="s">
        <v>74</v>
      </c>
      <c r="BU390" s="44" t="s">
        <v>74</v>
      </c>
      <c r="BV390" s="44" t="s">
        <v>74</v>
      </c>
      <c r="BW390" s="44" t="s">
        <v>74</v>
      </c>
      <c r="BX390" s="44" t="s">
        <v>74</v>
      </c>
      <c r="BY390" s="44" t="s">
        <v>74</v>
      </c>
    </row>
    <row r="391" spans="1:77">
      <c r="A391">
        <v>0</v>
      </c>
      <c r="B391" s="60" t="s">
        <v>74</v>
      </c>
      <c r="C391" s="60" t="s">
        <v>74</v>
      </c>
      <c r="D391" s="61" t="s">
        <v>74</v>
      </c>
      <c r="E391" s="52" t="s">
        <v>74</v>
      </c>
      <c r="F391" s="52" t="s">
        <v>74</v>
      </c>
      <c r="G391" s="52" t="s">
        <v>74</v>
      </c>
      <c r="H391" s="44" t="s">
        <v>74</v>
      </c>
      <c r="I391" s="44" t="s">
        <v>74</v>
      </c>
      <c r="J391" s="44" t="s">
        <v>74</v>
      </c>
      <c r="K391" s="44" t="s">
        <v>74</v>
      </c>
      <c r="L391" s="44" t="s">
        <v>74</v>
      </c>
      <c r="M391" s="44" t="s">
        <v>74</v>
      </c>
      <c r="N391" s="44" t="s">
        <v>74</v>
      </c>
      <c r="O391" s="44" t="s">
        <v>74</v>
      </c>
      <c r="P391" s="44" t="s">
        <v>74</v>
      </c>
      <c r="Q391" s="44" t="s">
        <v>74</v>
      </c>
      <c r="R391" s="44" t="s">
        <v>74</v>
      </c>
      <c r="S391" s="44" t="s">
        <v>74</v>
      </c>
      <c r="T391" s="44" t="s">
        <v>74</v>
      </c>
      <c r="U391" s="44" t="s">
        <v>74</v>
      </c>
      <c r="V391" s="44" t="s">
        <v>74</v>
      </c>
      <c r="W391" s="44" t="s">
        <v>74</v>
      </c>
      <c r="X391" s="44" t="s">
        <v>74</v>
      </c>
      <c r="Y391" s="44" t="s">
        <v>74</v>
      </c>
      <c r="Z391" s="44" t="s">
        <v>74</v>
      </c>
      <c r="AA391" s="44" t="s">
        <v>74</v>
      </c>
      <c r="AB391" s="44" t="s">
        <v>74</v>
      </c>
      <c r="AC391" s="44" t="s">
        <v>74</v>
      </c>
      <c r="AD391" s="44" t="s">
        <v>74</v>
      </c>
      <c r="AE391" s="44" t="s">
        <v>74</v>
      </c>
      <c r="AF391" s="44" t="s">
        <v>74</v>
      </c>
      <c r="AG391" s="44" t="s">
        <v>74</v>
      </c>
      <c r="AH391" s="44" t="s">
        <v>74</v>
      </c>
      <c r="AI391" s="44" t="s">
        <v>74</v>
      </c>
      <c r="AJ391" s="44" t="s">
        <v>74</v>
      </c>
      <c r="AK391" s="44" t="s">
        <v>74</v>
      </c>
      <c r="AL391" s="44" t="s">
        <v>74</v>
      </c>
      <c r="AM391" s="44" t="s">
        <v>74</v>
      </c>
      <c r="AN391" s="44" t="s">
        <v>74</v>
      </c>
      <c r="AO391" s="44" t="s">
        <v>74</v>
      </c>
      <c r="AP391" s="44" t="s">
        <v>74</v>
      </c>
      <c r="AQ391" s="44" t="s">
        <v>74</v>
      </c>
      <c r="AR391" s="44" t="s">
        <v>74</v>
      </c>
      <c r="AS391" s="44" t="s">
        <v>74</v>
      </c>
      <c r="AT391" s="44" t="s">
        <v>74</v>
      </c>
      <c r="AU391" s="44" t="s">
        <v>74</v>
      </c>
      <c r="AV391" s="44" t="s">
        <v>74</v>
      </c>
      <c r="AW391" s="44" t="s">
        <v>74</v>
      </c>
      <c r="AX391" s="62" t="s">
        <v>74</v>
      </c>
      <c r="AY391" s="62" t="s">
        <v>74</v>
      </c>
      <c r="AZ391" s="62" t="s">
        <v>74</v>
      </c>
      <c r="BA391" s="62" t="s">
        <v>74</v>
      </c>
      <c r="BB391" s="62" t="s">
        <v>74</v>
      </c>
      <c r="BC391" s="62" t="s">
        <v>74</v>
      </c>
      <c r="BD391" s="62" t="s">
        <v>74</v>
      </c>
      <c r="BE391" s="44" t="s">
        <v>74</v>
      </c>
      <c r="BF391" s="44" t="s">
        <v>74</v>
      </c>
      <c r="BG391" s="62" t="s">
        <v>74</v>
      </c>
      <c r="BH391" s="62" t="s">
        <v>74</v>
      </c>
      <c r="BI391" s="44" t="s">
        <v>74</v>
      </c>
      <c r="BJ391" s="44" t="s">
        <v>74</v>
      </c>
      <c r="BK391" s="44" t="s">
        <v>74</v>
      </c>
      <c r="BL391" s="45" t="s">
        <v>74</v>
      </c>
      <c r="BM391" s="45" t="s">
        <v>74</v>
      </c>
      <c r="BN391" s="44" t="s">
        <v>74</v>
      </c>
      <c r="BO391" s="62" t="s">
        <v>74</v>
      </c>
      <c r="BP391" s="62" t="s">
        <v>74</v>
      </c>
      <c r="BQ391" s="62" t="s">
        <v>74</v>
      </c>
      <c r="BR391" s="62" t="s">
        <v>74</v>
      </c>
      <c r="BS391" s="53" t="s">
        <v>74</v>
      </c>
      <c r="BT391" s="44" t="s">
        <v>74</v>
      </c>
      <c r="BU391" s="44" t="s">
        <v>74</v>
      </c>
      <c r="BV391" s="44" t="s">
        <v>74</v>
      </c>
      <c r="BW391" s="44" t="s">
        <v>74</v>
      </c>
      <c r="BX391" s="44" t="s">
        <v>74</v>
      </c>
      <c r="BY391" s="44" t="s">
        <v>74</v>
      </c>
    </row>
    <row r="392" spans="1:77">
      <c r="A392">
        <v>0</v>
      </c>
      <c r="B392" s="60" t="s">
        <v>74</v>
      </c>
      <c r="C392" s="60" t="s">
        <v>74</v>
      </c>
      <c r="D392" s="61" t="s">
        <v>74</v>
      </c>
      <c r="E392" s="52" t="s">
        <v>74</v>
      </c>
      <c r="F392" s="52" t="s">
        <v>74</v>
      </c>
      <c r="G392" s="52" t="s">
        <v>74</v>
      </c>
      <c r="H392" s="44" t="s">
        <v>74</v>
      </c>
      <c r="I392" s="44" t="s">
        <v>74</v>
      </c>
      <c r="J392" s="44" t="s">
        <v>74</v>
      </c>
      <c r="K392" s="44" t="s">
        <v>74</v>
      </c>
      <c r="L392" s="44" t="s">
        <v>74</v>
      </c>
      <c r="M392" s="44" t="s">
        <v>74</v>
      </c>
      <c r="N392" s="44" t="s">
        <v>74</v>
      </c>
      <c r="O392" s="44" t="s">
        <v>74</v>
      </c>
      <c r="P392" s="44" t="s">
        <v>74</v>
      </c>
      <c r="Q392" s="44" t="s">
        <v>74</v>
      </c>
      <c r="R392" s="44" t="s">
        <v>74</v>
      </c>
      <c r="S392" s="44" t="s">
        <v>74</v>
      </c>
      <c r="T392" s="44" t="s">
        <v>74</v>
      </c>
      <c r="U392" s="44" t="s">
        <v>74</v>
      </c>
      <c r="V392" s="44" t="s">
        <v>74</v>
      </c>
      <c r="W392" s="44" t="s">
        <v>74</v>
      </c>
      <c r="X392" s="44" t="s">
        <v>74</v>
      </c>
      <c r="Y392" s="44" t="s">
        <v>74</v>
      </c>
      <c r="Z392" s="44" t="s">
        <v>74</v>
      </c>
      <c r="AA392" s="44" t="s">
        <v>74</v>
      </c>
      <c r="AB392" s="44" t="s">
        <v>74</v>
      </c>
      <c r="AC392" s="44" t="s">
        <v>74</v>
      </c>
      <c r="AD392" s="44" t="s">
        <v>74</v>
      </c>
      <c r="AE392" s="44" t="s">
        <v>74</v>
      </c>
      <c r="AF392" s="44" t="s">
        <v>74</v>
      </c>
      <c r="AG392" s="44" t="s">
        <v>74</v>
      </c>
      <c r="AH392" s="44" t="s">
        <v>74</v>
      </c>
      <c r="AI392" s="44" t="s">
        <v>74</v>
      </c>
      <c r="AJ392" s="44" t="s">
        <v>74</v>
      </c>
      <c r="AK392" s="44" t="s">
        <v>74</v>
      </c>
      <c r="AL392" s="44" t="s">
        <v>74</v>
      </c>
      <c r="AM392" s="44" t="s">
        <v>74</v>
      </c>
      <c r="AN392" s="44" t="s">
        <v>74</v>
      </c>
      <c r="AO392" s="44" t="s">
        <v>74</v>
      </c>
      <c r="AP392" s="44" t="s">
        <v>74</v>
      </c>
      <c r="AQ392" s="44" t="s">
        <v>74</v>
      </c>
      <c r="AR392" s="44" t="s">
        <v>74</v>
      </c>
      <c r="AS392" s="44" t="s">
        <v>74</v>
      </c>
      <c r="AT392" s="44" t="s">
        <v>74</v>
      </c>
      <c r="AU392" s="44" t="s">
        <v>74</v>
      </c>
      <c r="AV392" s="44" t="s">
        <v>74</v>
      </c>
      <c r="AW392" s="44" t="s">
        <v>74</v>
      </c>
      <c r="AX392" s="62" t="s">
        <v>74</v>
      </c>
      <c r="AY392" s="62" t="s">
        <v>74</v>
      </c>
      <c r="AZ392" s="62" t="s">
        <v>74</v>
      </c>
      <c r="BA392" s="62" t="s">
        <v>74</v>
      </c>
      <c r="BB392" s="62" t="s">
        <v>74</v>
      </c>
      <c r="BC392" s="62" t="s">
        <v>74</v>
      </c>
      <c r="BD392" s="62" t="s">
        <v>74</v>
      </c>
      <c r="BE392" s="44" t="s">
        <v>74</v>
      </c>
      <c r="BF392" s="44" t="s">
        <v>74</v>
      </c>
      <c r="BG392" s="62" t="s">
        <v>74</v>
      </c>
      <c r="BH392" s="62" t="s">
        <v>74</v>
      </c>
      <c r="BI392" s="44" t="s">
        <v>74</v>
      </c>
      <c r="BJ392" s="44" t="s">
        <v>74</v>
      </c>
      <c r="BK392" s="44" t="s">
        <v>74</v>
      </c>
      <c r="BL392" s="45" t="s">
        <v>74</v>
      </c>
      <c r="BM392" s="45" t="s">
        <v>74</v>
      </c>
      <c r="BN392" s="44" t="s">
        <v>74</v>
      </c>
      <c r="BO392" s="62" t="s">
        <v>74</v>
      </c>
      <c r="BP392" s="62" t="s">
        <v>74</v>
      </c>
      <c r="BQ392" s="62" t="s">
        <v>74</v>
      </c>
      <c r="BR392" s="62" t="s">
        <v>74</v>
      </c>
      <c r="BS392" s="53" t="s">
        <v>74</v>
      </c>
      <c r="BT392" s="44" t="s">
        <v>74</v>
      </c>
      <c r="BU392" s="44" t="s">
        <v>74</v>
      </c>
      <c r="BV392" s="44" t="s">
        <v>74</v>
      </c>
      <c r="BW392" s="44" t="s">
        <v>74</v>
      </c>
      <c r="BX392" s="44" t="s">
        <v>74</v>
      </c>
      <c r="BY392" s="44" t="s">
        <v>74</v>
      </c>
    </row>
    <row r="393" spans="1:77">
      <c r="A393">
        <v>0</v>
      </c>
      <c r="B393" s="60" t="s">
        <v>74</v>
      </c>
      <c r="C393" s="60" t="s">
        <v>74</v>
      </c>
      <c r="D393" s="61" t="s">
        <v>74</v>
      </c>
      <c r="E393" s="52" t="s">
        <v>74</v>
      </c>
      <c r="F393" s="52" t="s">
        <v>74</v>
      </c>
      <c r="G393" s="52" t="s">
        <v>74</v>
      </c>
      <c r="H393" s="44" t="s">
        <v>74</v>
      </c>
      <c r="I393" s="44" t="s">
        <v>74</v>
      </c>
      <c r="J393" s="44" t="s">
        <v>74</v>
      </c>
      <c r="K393" s="44" t="s">
        <v>74</v>
      </c>
      <c r="L393" s="44" t="s">
        <v>74</v>
      </c>
      <c r="M393" s="44" t="s">
        <v>74</v>
      </c>
      <c r="N393" s="44" t="s">
        <v>74</v>
      </c>
      <c r="O393" s="44" t="s">
        <v>74</v>
      </c>
      <c r="P393" s="44" t="s">
        <v>74</v>
      </c>
      <c r="Q393" s="44" t="s">
        <v>74</v>
      </c>
      <c r="R393" s="44" t="s">
        <v>74</v>
      </c>
      <c r="S393" s="44" t="s">
        <v>74</v>
      </c>
      <c r="T393" s="44" t="s">
        <v>74</v>
      </c>
      <c r="U393" s="44" t="s">
        <v>74</v>
      </c>
      <c r="V393" s="44" t="s">
        <v>74</v>
      </c>
      <c r="W393" s="44" t="s">
        <v>74</v>
      </c>
      <c r="X393" s="44" t="s">
        <v>74</v>
      </c>
      <c r="Y393" s="44" t="s">
        <v>74</v>
      </c>
      <c r="Z393" s="44" t="s">
        <v>74</v>
      </c>
      <c r="AA393" s="44" t="s">
        <v>74</v>
      </c>
      <c r="AB393" s="44" t="s">
        <v>74</v>
      </c>
      <c r="AC393" s="44" t="s">
        <v>74</v>
      </c>
      <c r="AD393" s="44" t="s">
        <v>74</v>
      </c>
      <c r="AE393" s="44" t="s">
        <v>74</v>
      </c>
      <c r="AF393" s="44" t="s">
        <v>74</v>
      </c>
      <c r="AG393" s="44" t="s">
        <v>74</v>
      </c>
      <c r="AH393" s="44" t="s">
        <v>74</v>
      </c>
      <c r="AI393" s="44" t="s">
        <v>74</v>
      </c>
      <c r="AJ393" s="44" t="s">
        <v>74</v>
      </c>
      <c r="AK393" s="44" t="s">
        <v>74</v>
      </c>
      <c r="AL393" s="44" t="s">
        <v>74</v>
      </c>
      <c r="AM393" s="44" t="s">
        <v>74</v>
      </c>
      <c r="AN393" s="44" t="s">
        <v>74</v>
      </c>
      <c r="AO393" s="44" t="s">
        <v>74</v>
      </c>
      <c r="AP393" s="44" t="s">
        <v>74</v>
      </c>
      <c r="AQ393" s="44" t="s">
        <v>74</v>
      </c>
      <c r="AR393" s="44" t="s">
        <v>74</v>
      </c>
      <c r="AS393" s="44" t="s">
        <v>74</v>
      </c>
      <c r="AT393" s="44" t="s">
        <v>74</v>
      </c>
      <c r="AU393" s="44" t="s">
        <v>74</v>
      </c>
      <c r="AV393" s="44" t="s">
        <v>74</v>
      </c>
      <c r="AW393" s="44" t="s">
        <v>74</v>
      </c>
      <c r="AX393" s="62" t="s">
        <v>74</v>
      </c>
      <c r="AY393" s="62" t="s">
        <v>74</v>
      </c>
      <c r="AZ393" s="62" t="s">
        <v>74</v>
      </c>
      <c r="BA393" s="62" t="s">
        <v>74</v>
      </c>
      <c r="BB393" s="62" t="s">
        <v>74</v>
      </c>
      <c r="BC393" s="62" t="s">
        <v>74</v>
      </c>
      <c r="BD393" s="62" t="s">
        <v>74</v>
      </c>
      <c r="BE393" s="44" t="s">
        <v>74</v>
      </c>
      <c r="BF393" s="44" t="s">
        <v>74</v>
      </c>
      <c r="BG393" s="62" t="s">
        <v>74</v>
      </c>
      <c r="BH393" s="62" t="s">
        <v>74</v>
      </c>
      <c r="BI393" s="44" t="s">
        <v>74</v>
      </c>
      <c r="BJ393" s="44" t="s">
        <v>74</v>
      </c>
      <c r="BK393" s="44" t="s">
        <v>74</v>
      </c>
      <c r="BL393" s="45" t="s">
        <v>74</v>
      </c>
      <c r="BM393" s="45" t="s">
        <v>74</v>
      </c>
      <c r="BN393" s="44" t="s">
        <v>74</v>
      </c>
      <c r="BO393" s="62" t="s">
        <v>74</v>
      </c>
      <c r="BP393" s="62" t="s">
        <v>74</v>
      </c>
      <c r="BQ393" s="62" t="s">
        <v>74</v>
      </c>
      <c r="BR393" s="62" t="s">
        <v>74</v>
      </c>
      <c r="BS393" s="53" t="s">
        <v>74</v>
      </c>
      <c r="BT393" s="44" t="s">
        <v>74</v>
      </c>
      <c r="BU393" s="44" t="s">
        <v>74</v>
      </c>
      <c r="BV393" s="44" t="s">
        <v>74</v>
      </c>
      <c r="BW393" s="44" t="s">
        <v>74</v>
      </c>
      <c r="BX393" s="44" t="s">
        <v>74</v>
      </c>
      <c r="BY393" s="44" t="s">
        <v>74</v>
      </c>
    </row>
    <row r="394" spans="1:77">
      <c r="A394">
        <v>0</v>
      </c>
      <c r="B394" s="60" t="s">
        <v>74</v>
      </c>
      <c r="C394" s="60" t="s">
        <v>74</v>
      </c>
      <c r="D394" s="61" t="s">
        <v>74</v>
      </c>
      <c r="E394" s="52" t="s">
        <v>74</v>
      </c>
      <c r="F394" s="52" t="s">
        <v>74</v>
      </c>
      <c r="G394" s="52" t="s">
        <v>74</v>
      </c>
      <c r="H394" s="44" t="s">
        <v>74</v>
      </c>
      <c r="I394" s="44" t="s">
        <v>74</v>
      </c>
      <c r="J394" s="44" t="s">
        <v>74</v>
      </c>
      <c r="K394" s="44" t="s">
        <v>74</v>
      </c>
      <c r="L394" s="44" t="s">
        <v>74</v>
      </c>
      <c r="M394" s="44" t="s">
        <v>74</v>
      </c>
      <c r="N394" s="44" t="s">
        <v>74</v>
      </c>
      <c r="O394" s="44" t="s">
        <v>74</v>
      </c>
      <c r="P394" s="44" t="s">
        <v>74</v>
      </c>
      <c r="Q394" s="44" t="s">
        <v>74</v>
      </c>
      <c r="R394" s="44" t="s">
        <v>74</v>
      </c>
      <c r="S394" s="44" t="s">
        <v>74</v>
      </c>
      <c r="T394" s="44" t="s">
        <v>74</v>
      </c>
      <c r="U394" s="44" t="s">
        <v>74</v>
      </c>
      <c r="V394" s="44" t="s">
        <v>74</v>
      </c>
      <c r="W394" s="44" t="s">
        <v>74</v>
      </c>
      <c r="X394" s="44" t="s">
        <v>74</v>
      </c>
      <c r="Y394" s="44" t="s">
        <v>74</v>
      </c>
      <c r="Z394" s="44" t="s">
        <v>74</v>
      </c>
      <c r="AA394" s="44" t="s">
        <v>74</v>
      </c>
      <c r="AB394" s="44" t="s">
        <v>74</v>
      </c>
      <c r="AC394" s="44" t="s">
        <v>74</v>
      </c>
      <c r="AD394" s="44" t="s">
        <v>74</v>
      </c>
      <c r="AE394" s="44" t="s">
        <v>74</v>
      </c>
      <c r="AF394" s="44" t="s">
        <v>74</v>
      </c>
      <c r="AG394" s="44" t="s">
        <v>74</v>
      </c>
      <c r="AH394" s="44" t="s">
        <v>74</v>
      </c>
      <c r="AI394" s="44" t="s">
        <v>74</v>
      </c>
      <c r="AJ394" s="44" t="s">
        <v>74</v>
      </c>
      <c r="AK394" s="44" t="s">
        <v>74</v>
      </c>
      <c r="AL394" s="44" t="s">
        <v>74</v>
      </c>
      <c r="AM394" s="44" t="s">
        <v>74</v>
      </c>
      <c r="AN394" s="44" t="s">
        <v>74</v>
      </c>
      <c r="AO394" s="44" t="s">
        <v>74</v>
      </c>
      <c r="AP394" s="44" t="s">
        <v>74</v>
      </c>
      <c r="AQ394" s="44" t="s">
        <v>74</v>
      </c>
      <c r="AR394" s="44" t="s">
        <v>74</v>
      </c>
      <c r="AS394" s="44" t="s">
        <v>74</v>
      </c>
      <c r="AT394" s="44" t="s">
        <v>74</v>
      </c>
      <c r="AU394" s="44" t="s">
        <v>74</v>
      </c>
      <c r="AV394" s="44" t="s">
        <v>74</v>
      </c>
      <c r="AW394" s="44" t="s">
        <v>74</v>
      </c>
      <c r="AX394" s="62" t="s">
        <v>74</v>
      </c>
      <c r="AY394" s="62" t="s">
        <v>74</v>
      </c>
      <c r="AZ394" s="62" t="s">
        <v>74</v>
      </c>
      <c r="BA394" s="62" t="s">
        <v>74</v>
      </c>
      <c r="BB394" s="62" t="s">
        <v>74</v>
      </c>
      <c r="BC394" s="62" t="s">
        <v>74</v>
      </c>
      <c r="BD394" s="62" t="s">
        <v>74</v>
      </c>
      <c r="BE394" s="44" t="s">
        <v>74</v>
      </c>
      <c r="BF394" s="44" t="s">
        <v>74</v>
      </c>
      <c r="BG394" s="62" t="s">
        <v>74</v>
      </c>
      <c r="BH394" s="62" t="s">
        <v>74</v>
      </c>
      <c r="BI394" s="44" t="s">
        <v>74</v>
      </c>
      <c r="BJ394" s="44" t="s">
        <v>74</v>
      </c>
      <c r="BK394" s="44" t="s">
        <v>74</v>
      </c>
      <c r="BL394" s="45" t="s">
        <v>74</v>
      </c>
      <c r="BM394" s="45" t="s">
        <v>74</v>
      </c>
      <c r="BN394" s="44" t="s">
        <v>74</v>
      </c>
      <c r="BO394" s="62" t="s">
        <v>74</v>
      </c>
      <c r="BP394" s="62" t="s">
        <v>74</v>
      </c>
      <c r="BQ394" s="62" t="s">
        <v>74</v>
      </c>
      <c r="BR394" s="62" t="s">
        <v>74</v>
      </c>
      <c r="BS394" s="53" t="s">
        <v>74</v>
      </c>
      <c r="BT394" s="44" t="s">
        <v>74</v>
      </c>
      <c r="BU394" s="44" t="s">
        <v>74</v>
      </c>
      <c r="BV394" s="44" t="s">
        <v>74</v>
      </c>
      <c r="BW394" s="44" t="s">
        <v>74</v>
      </c>
      <c r="BX394" s="44" t="s">
        <v>74</v>
      </c>
      <c r="BY394" s="44" t="s">
        <v>74</v>
      </c>
    </row>
    <row r="395" spans="1:77">
      <c r="A395">
        <v>0</v>
      </c>
      <c r="B395" s="60" t="s">
        <v>74</v>
      </c>
      <c r="C395" s="60" t="s">
        <v>74</v>
      </c>
      <c r="D395" s="61" t="s">
        <v>74</v>
      </c>
      <c r="E395" s="52" t="s">
        <v>74</v>
      </c>
      <c r="F395" s="52" t="s">
        <v>74</v>
      </c>
      <c r="G395" s="52" t="s">
        <v>74</v>
      </c>
      <c r="H395" s="44" t="s">
        <v>74</v>
      </c>
      <c r="I395" s="44" t="s">
        <v>74</v>
      </c>
      <c r="J395" s="44" t="s">
        <v>74</v>
      </c>
      <c r="K395" s="44" t="s">
        <v>74</v>
      </c>
      <c r="L395" s="44" t="s">
        <v>74</v>
      </c>
      <c r="M395" s="44" t="s">
        <v>74</v>
      </c>
      <c r="N395" s="44" t="s">
        <v>74</v>
      </c>
      <c r="O395" s="44" t="s">
        <v>74</v>
      </c>
      <c r="P395" s="44" t="s">
        <v>74</v>
      </c>
      <c r="Q395" s="44" t="s">
        <v>74</v>
      </c>
      <c r="R395" s="44" t="s">
        <v>74</v>
      </c>
      <c r="S395" s="44" t="s">
        <v>74</v>
      </c>
      <c r="T395" s="44" t="s">
        <v>74</v>
      </c>
      <c r="U395" s="44" t="s">
        <v>74</v>
      </c>
      <c r="V395" s="44" t="s">
        <v>74</v>
      </c>
      <c r="W395" s="44" t="s">
        <v>74</v>
      </c>
      <c r="X395" s="44" t="s">
        <v>74</v>
      </c>
      <c r="Y395" s="44" t="s">
        <v>74</v>
      </c>
      <c r="Z395" s="44" t="s">
        <v>74</v>
      </c>
      <c r="AA395" s="44" t="s">
        <v>74</v>
      </c>
      <c r="AB395" s="44" t="s">
        <v>74</v>
      </c>
      <c r="AC395" s="44" t="s">
        <v>74</v>
      </c>
      <c r="AD395" s="44" t="s">
        <v>74</v>
      </c>
      <c r="AE395" s="44" t="s">
        <v>74</v>
      </c>
      <c r="AF395" s="44" t="s">
        <v>74</v>
      </c>
      <c r="AG395" s="44" t="s">
        <v>74</v>
      </c>
      <c r="AH395" s="44" t="s">
        <v>74</v>
      </c>
      <c r="AI395" s="44" t="s">
        <v>74</v>
      </c>
      <c r="AJ395" s="44" t="s">
        <v>74</v>
      </c>
      <c r="AK395" s="44" t="s">
        <v>74</v>
      </c>
      <c r="AL395" s="44" t="s">
        <v>74</v>
      </c>
      <c r="AM395" s="44" t="s">
        <v>74</v>
      </c>
      <c r="AN395" s="44" t="s">
        <v>74</v>
      </c>
      <c r="AO395" s="44" t="s">
        <v>74</v>
      </c>
      <c r="AP395" s="44" t="s">
        <v>74</v>
      </c>
      <c r="AQ395" s="44" t="s">
        <v>74</v>
      </c>
      <c r="AR395" s="44" t="s">
        <v>74</v>
      </c>
      <c r="AS395" s="44" t="s">
        <v>74</v>
      </c>
      <c r="AT395" s="44" t="s">
        <v>74</v>
      </c>
      <c r="AU395" s="44" t="s">
        <v>74</v>
      </c>
      <c r="AV395" s="44" t="s">
        <v>74</v>
      </c>
      <c r="AW395" s="44" t="s">
        <v>74</v>
      </c>
      <c r="AX395" s="62" t="s">
        <v>74</v>
      </c>
      <c r="AY395" s="62" t="s">
        <v>74</v>
      </c>
      <c r="AZ395" s="62" t="s">
        <v>74</v>
      </c>
      <c r="BA395" s="62" t="s">
        <v>74</v>
      </c>
      <c r="BB395" s="62" t="s">
        <v>74</v>
      </c>
      <c r="BC395" s="62" t="s">
        <v>74</v>
      </c>
      <c r="BD395" s="62" t="s">
        <v>74</v>
      </c>
      <c r="BE395" s="44" t="s">
        <v>74</v>
      </c>
      <c r="BF395" s="44" t="s">
        <v>74</v>
      </c>
      <c r="BG395" s="62" t="s">
        <v>74</v>
      </c>
      <c r="BH395" s="62" t="s">
        <v>74</v>
      </c>
      <c r="BI395" s="44" t="s">
        <v>74</v>
      </c>
      <c r="BJ395" s="44" t="s">
        <v>74</v>
      </c>
      <c r="BK395" s="44" t="s">
        <v>74</v>
      </c>
      <c r="BL395" s="45" t="s">
        <v>74</v>
      </c>
      <c r="BM395" s="45" t="s">
        <v>74</v>
      </c>
      <c r="BN395" s="44" t="s">
        <v>74</v>
      </c>
      <c r="BO395" s="62" t="s">
        <v>74</v>
      </c>
      <c r="BP395" s="62" t="s">
        <v>74</v>
      </c>
      <c r="BQ395" s="62" t="s">
        <v>74</v>
      </c>
      <c r="BR395" s="62" t="s">
        <v>74</v>
      </c>
      <c r="BS395" s="53" t="s">
        <v>74</v>
      </c>
      <c r="BT395" s="44" t="s">
        <v>74</v>
      </c>
      <c r="BU395" s="44" t="s">
        <v>74</v>
      </c>
      <c r="BV395" s="44" t="s">
        <v>74</v>
      </c>
      <c r="BW395" s="44" t="s">
        <v>74</v>
      </c>
      <c r="BX395" s="44" t="s">
        <v>74</v>
      </c>
      <c r="BY395" s="44" t="s">
        <v>74</v>
      </c>
    </row>
    <row r="396" spans="1:77">
      <c r="A396">
        <v>0</v>
      </c>
      <c r="B396" s="60" t="s">
        <v>74</v>
      </c>
      <c r="C396" s="60" t="s">
        <v>74</v>
      </c>
      <c r="D396" s="61" t="s">
        <v>74</v>
      </c>
      <c r="E396" s="52" t="s">
        <v>74</v>
      </c>
      <c r="F396" s="52" t="s">
        <v>74</v>
      </c>
      <c r="G396" s="52" t="s">
        <v>74</v>
      </c>
      <c r="H396" s="44" t="s">
        <v>74</v>
      </c>
      <c r="I396" s="44" t="s">
        <v>74</v>
      </c>
      <c r="J396" s="44" t="s">
        <v>74</v>
      </c>
      <c r="K396" s="44" t="s">
        <v>74</v>
      </c>
      <c r="L396" s="44" t="s">
        <v>74</v>
      </c>
      <c r="M396" s="44" t="s">
        <v>74</v>
      </c>
      <c r="N396" s="44" t="s">
        <v>74</v>
      </c>
      <c r="O396" s="44" t="s">
        <v>74</v>
      </c>
      <c r="P396" s="44" t="s">
        <v>74</v>
      </c>
      <c r="Q396" s="44" t="s">
        <v>74</v>
      </c>
      <c r="R396" s="44" t="s">
        <v>74</v>
      </c>
      <c r="S396" s="44" t="s">
        <v>74</v>
      </c>
      <c r="T396" s="44" t="s">
        <v>74</v>
      </c>
      <c r="U396" s="44" t="s">
        <v>74</v>
      </c>
      <c r="V396" s="44" t="s">
        <v>74</v>
      </c>
      <c r="W396" s="44" t="s">
        <v>74</v>
      </c>
      <c r="X396" s="44" t="s">
        <v>74</v>
      </c>
      <c r="Y396" s="44" t="s">
        <v>74</v>
      </c>
      <c r="Z396" s="44" t="s">
        <v>74</v>
      </c>
      <c r="AA396" s="44" t="s">
        <v>74</v>
      </c>
      <c r="AB396" s="44" t="s">
        <v>74</v>
      </c>
      <c r="AC396" s="44" t="s">
        <v>74</v>
      </c>
      <c r="AD396" s="44" t="s">
        <v>74</v>
      </c>
      <c r="AE396" s="44" t="s">
        <v>74</v>
      </c>
      <c r="AF396" s="44" t="s">
        <v>74</v>
      </c>
      <c r="AG396" s="44" t="s">
        <v>74</v>
      </c>
      <c r="AH396" s="44" t="s">
        <v>74</v>
      </c>
      <c r="AI396" s="44" t="s">
        <v>74</v>
      </c>
      <c r="AJ396" s="44" t="s">
        <v>74</v>
      </c>
      <c r="AK396" s="44" t="s">
        <v>74</v>
      </c>
      <c r="AL396" s="44" t="s">
        <v>74</v>
      </c>
      <c r="AM396" s="44" t="s">
        <v>74</v>
      </c>
      <c r="AN396" s="44" t="s">
        <v>74</v>
      </c>
      <c r="AO396" s="44" t="s">
        <v>74</v>
      </c>
      <c r="AP396" s="44" t="s">
        <v>74</v>
      </c>
      <c r="AQ396" s="44" t="s">
        <v>74</v>
      </c>
      <c r="AR396" s="44" t="s">
        <v>74</v>
      </c>
      <c r="AS396" s="44" t="s">
        <v>74</v>
      </c>
      <c r="AT396" s="44" t="s">
        <v>74</v>
      </c>
      <c r="AU396" s="44" t="s">
        <v>74</v>
      </c>
      <c r="AV396" s="44" t="s">
        <v>74</v>
      </c>
      <c r="AW396" s="44" t="s">
        <v>74</v>
      </c>
      <c r="AX396" s="62" t="s">
        <v>74</v>
      </c>
      <c r="AY396" s="62" t="s">
        <v>74</v>
      </c>
      <c r="AZ396" s="62" t="s">
        <v>74</v>
      </c>
      <c r="BA396" s="62" t="s">
        <v>74</v>
      </c>
      <c r="BB396" s="62" t="s">
        <v>74</v>
      </c>
      <c r="BC396" s="62" t="s">
        <v>74</v>
      </c>
      <c r="BD396" s="62" t="s">
        <v>74</v>
      </c>
      <c r="BE396" s="44" t="s">
        <v>74</v>
      </c>
      <c r="BF396" s="44" t="s">
        <v>74</v>
      </c>
      <c r="BG396" s="62" t="s">
        <v>74</v>
      </c>
      <c r="BH396" s="62" t="s">
        <v>74</v>
      </c>
      <c r="BI396" s="44" t="s">
        <v>74</v>
      </c>
      <c r="BJ396" s="44" t="s">
        <v>74</v>
      </c>
      <c r="BK396" s="44" t="s">
        <v>74</v>
      </c>
      <c r="BL396" s="45" t="s">
        <v>74</v>
      </c>
      <c r="BM396" s="45" t="s">
        <v>74</v>
      </c>
      <c r="BN396" s="44" t="s">
        <v>74</v>
      </c>
      <c r="BO396" s="62" t="s">
        <v>74</v>
      </c>
      <c r="BP396" s="62" t="s">
        <v>74</v>
      </c>
      <c r="BQ396" s="62" t="s">
        <v>74</v>
      </c>
      <c r="BR396" s="62" t="s">
        <v>74</v>
      </c>
      <c r="BS396" s="53" t="s">
        <v>74</v>
      </c>
      <c r="BT396" s="44" t="s">
        <v>74</v>
      </c>
      <c r="BU396" s="44" t="s">
        <v>74</v>
      </c>
      <c r="BV396" s="44" t="s">
        <v>74</v>
      </c>
      <c r="BW396" s="44" t="s">
        <v>74</v>
      </c>
      <c r="BX396" s="44" t="s">
        <v>74</v>
      </c>
      <c r="BY396" s="44" t="s">
        <v>74</v>
      </c>
    </row>
    <row r="397" spans="1:77">
      <c r="A397">
        <v>0</v>
      </c>
      <c r="B397" s="60" t="s">
        <v>74</v>
      </c>
      <c r="C397" s="60" t="s">
        <v>74</v>
      </c>
      <c r="D397" s="61" t="s">
        <v>74</v>
      </c>
      <c r="E397" s="52" t="s">
        <v>74</v>
      </c>
      <c r="F397" s="52" t="s">
        <v>74</v>
      </c>
      <c r="G397" s="52" t="s">
        <v>74</v>
      </c>
      <c r="H397" s="44" t="s">
        <v>74</v>
      </c>
      <c r="I397" s="44" t="s">
        <v>74</v>
      </c>
      <c r="J397" s="44" t="s">
        <v>74</v>
      </c>
      <c r="K397" s="44" t="s">
        <v>74</v>
      </c>
      <c r="L397" s="44" t="s">
        <v>74</v>
      </c>
      <c r="M397" s="44" t="s">
        <v>74</v>
      </c>
      <c r="N397" s="44" t="s">
        <v>74</v>
      </c>
      <c r="O397" s="44" t="s">
        <v>74</v>
      </c>
      <c r="P397" s="44" t="s">
        <v>74</v>
      </c>
      <c r="Q397" s="44" t="s">
        <v>74</v>
      </c>
      <c r="R397" s="44" t="s">
        <v>74</v>
      </c>
      <c r="S397" s="44" t="s">
        <v>74</v>
      </c>
      <c r="T397" s="44" t="s">
        <v>74</v>
      </c>
      <c r="U397" s="44" t="s">
        <v>74</v>
      </c>
      <c r="V397" s="44" t="s">
        <v>74</v>
      </c>
      <c r="W397" s="44" t="s">
        <v>74</v>
      </c>
      <c r="X397" s="44" t="s">
        <v>74</v>
      </c>
      <c r="Y397" s="44" t="s">
        <v>74</v>
      </c>
      <c r="Z397" s="44" t="s">
        <v>74</v>
      </c>
      <c r="AA397" s="44" t="s">
        <v>74</v>
      </c>
      <c r="AB397" s="44" t="s">
        <v>74</v>
      </c>
      <c r="AC397" s="44" t="s">
        <v>74</v>
      </c>
      <c r="AD397" s="44" t="s">
        <v>74</v>
      </c>
      <c r="AE397" s="44" t="s">
        <v>74</v>
      </c>
      <c r="AF397" s="44" t="s">
        <v>74</v>
      </c>
      <c r="AG397" s="44" t="s">
        <v>74</v>
      </c>
      <c r="AH397" s="44" t="s">
        <v>74</v>
      </c>
      <c r="AI397" s="44" t="s">
        <v>74</v>
      </c>
      <c r="AJ397" s="44" t="s">
        <v>74</v>
      </c>
      <c r="AK397" s="44" t="s">
        <v>74</v>
      </c>
      <c r="AL397" s="44" t="s">
        <v>74</v>
      </c>
      <c r="AM397" s="44" t="s">
        <v>74</v>
      </c>
      <c r="AN397" s="44" t="s">
        <v>74</v>
      </c>
      <c r="AO397" s="44" t="s">
        <v>74</v>
      </c>
      <c r="AP397" s="44" t="s">
        <v>74</v>
      </c>
      <c r="AQ397" s="44" t="s">
        <v>74</v>
      </c>
      <c r="AR397" s="44" t="s">
        <v>74</v>
      </c>
      <c r="AS397" s="44" t="s">
        <v>74</v>
      </c>
      <c r="AT397" s="44" t="s">
        <v>74</v>
      </c>
      <c r="AU397" s="44" t="s">
        <v>74</v>
      </c>
      <c r="AV397" s="44" t="s">
        <v>74</v>
      </c>
      <c r="AW397" s="44" t="s">
        <v>74</v>
      </c>
      <c r="AX397" s="62" t="s">
        <v>74</v>
      </c>
      <c r="AY397" s="62" t="s">
        <v>74</v>
      </c>
      <c r="AZ397" s="62" t="s">
        <v>74</v>
      </c>
      <c r="BA397" s="62" t="s">
        <v>74</v>
      </c>
      <c r="BB397" s="62" t="s">
        <v>74</v>
      </c>
      <c r="BC397" s="62" t="s">
        <v>74</v>
      </c>
      <c r="BD397" s="62" t="s">
        <v>74</v>
      </c>
      <c r="BE397" s="44" t="s">
        <v>74</v>
      </c>
      <c r="BF397" s="44" t="s">
        <v>74</v>
      </c>
      <c r="BG397" s="62" t="s">
        <v>74</v>
      </c>
      <c r="BH397" s="62" t="s">
        <v>74</v>
      </c>
      <c r="BI397" s="44" t="s">
        <v>74</v>
      </c>
      <c r="BJ397" s="44" t="s">
        <v>74</v>
      </c>
      <c r="BK397" s="44" t="s">
        <v>74</v>
      </c>
      <c r="BL397" s="45" t="s">
        <v>74</v>
      </c>
      <c r="BM397" s="45" t="s">
        <v>74</v>
      </c>
      <c r="BN397" s="44" t="s">
        <v>74</v>
      </c>
      <c r="BO397" s="62" t="s">
        <v>74</v>
      </c>
      <c r="BP397" s="62" t="s">
        <v>74</v>
      </c>
      <c r="BQ397" s="62" t="s">
        <v>74</v>
      </c>
      <c r="BR397" s="62" t="s">
        <v>74</v>
      </c>
      <c r="BS397" s="53" t="s">
        <v>74</v>
      </c>
      <c r="BT397" s="44" t="s">
        <v>74</v>
      </c>
      <c r="BU397" s="44" t="s">
        <v>74</v>
      </c>
      <c r="BV397" s="44" t="s">
        <v>74</v>
      </c>
      <c r="BW397" s="44" t="s">
        <v>74</v>
      </c>
      <c r="BX397" s="44" t="s">
        <v>74</v>
      </c>
      <c r="BY397" s="44" t="s">
        <v>74</v>
      </c>
    </row>
    <row r="398" spans="1:77">
      <c r="A398">
        <v>0</v>
      </c>
      <c r="B398" s="60" t="s">
        <v>74</v>
      </c>
      <c r="C398" s="60" t="s">
        <v>74</v>
      </c>
      <c r="D398" s="61" t="s">
        <v>74</v>
      </c>
      <c r="E398" s="52" t="s">
        <v>74</v>
      </c>
      <c r="F398" s="52" t="s">
        <v>74</v>
      </c>
      <c r="G398" s="52" t="s">
        <v>74</v>
      </c>
      <c r="H398" s="44" t="s">
        <v>74</v>
      </c>
      <c r="I398" s="44" t="s">
        <v>74</v>
      </c>
      <c r="J398" s="44" t="s">
        <v>74</v>
      </c>
      <c r="K398" s="44" t="s">
        <v>74</v>
      </c>
      <c r="L398" s="44" t="s">
        <v>74</v>
      </c>
      <c r="M398" s="44" t="s">
        <v>74</v>
      </c>
      <c r="N398" s="44" t="s">
        <v>74</v>
      </c>
      <c r="O398" s="44" t="s">
        <v>74</v>
      </c>
      <c r="P398" s="44" t="s">
        <v>74</v>
      </c>
      <c r="Q398" s="44" t="s">
        <v>74</v>
      </c>
      <c r="R398" s="44" t="s">
        <v>74</v>
      </c>
      <c r="S398" s="44" t="s">
        <v>74</v>
      </c>
      <c r="T398" s="44" t="s">
        <v>74</v>
      </c>
      <c r="U398" s="44" t="s">
        <v>74</v>
      </c>
      <c r="V398" s="44" t="s">
        <v>74</v>
      </c>
      <c r="W398" s="44" t="s">
        <v>74</v>
      </c>
      <c r="X398" s="44" t="s">
        <v>74</v>
      </c>
      <c r="Y398" s="44" t="s">
        <v>74</v>
      </c>
      <c r="Z398" s="44" t="s">
        <v>74</v>
      </c>
      <c r="AA398" s="44" t="s">
        <v>74</v>
      </c>
      <c r="AB398" s="44" t="s">
        <v>74</v>
      </c>
      <c r="AC398" s="44" t="s">
        <v>74</v>
      </c>
      <c r="AD398" s="44" t="s">
        <v>74</v>
      </c>
      <c r="AE398" s="44" t="s">
        <v>74</v>
      </c>
      <c r="AF398" s="44" t="s">
        <v>74</v>
      </c>
      <c r="AG398" s="44" t="s">
        <v>74</v>
      </c>
      <c r="AH398" s="44" t="s">
        <v>74</v>
      </c>
      <c r="AI398" s="44" t="s">
        <v>74</v>
      </c>
      <c r="AJ398" s="44" t="s">
        <v>74</v>
      </c>
      <c r="AK398" s="44" t="s">
        <v>74</v>
      </c>
      <c r="AL398" s="44" t="s">
        <v>74</v>
      </c>
      <c r="AM398" s="44" t="s">
        <v>74</v>
      </c>
      <c r="AN398" s="44" t="s">
        <v>74</v>
      </c>
      <c r="AO398" s="44" t="s">
        <v>74</v>
      </c>
      <c r="AP398" s="44" t="s">
        <v>74</v>
      </c>
      <c r="AQ398" s="44" t="s">
        <v>74</v>
      </c>
      <c r="AR398" s="44" t="s">
        <v>74</v>
      </c>
      <c r="AS398" s="44" t="s">
        <v>74</v>
      </c>
      <c r="AT398" s="44" t="s">
        <v>74</v>
      </c>
      <c r="AU398" s="44" t="s">
        <v>74</v>
      </c>
      <c r="AV398" s="44" t="s">
        <v>74</v>
      </c>
      <c r="AW398" s="44" t="s">
        <v>74</v>
      </c>
      <c r="AX398" s="62" t="s">
        <v>74</v>
      </c>
      <c r="AY398" s="62" t="s">
        <v>74</v>
      </c>
      <c r="AZ398" s="62" t="s">
        <v>74</v>
      </c>
      <c r="BA398" s="62" t="s">
        <v>74</v>
      </c>
      <c r="BB398" s="62" t="s">
        <v>74</v>
      </c>
      <c r="BC398" s="62" t="s">
        <v>74</v>
      </c>
      <c r="BD398" s="62" t="s">
        <v>74</v>
      </c>
      <c r="BE398" s="44" t="s">
        <v>74</v>
      </c>
      <c r="BF398" s="44" t="s">
        <v>74</v>
      </c>
      <c r="BG398" s="62" t="s">
        <v>74</v>
      </c>
      <c r="BH398" s="62" t="s">
        <v>74</v>
      </c>
      <c r="BI398" s="44" t="s">
        <v>74</v>
      </c>
      <c r="BJ398" s="44" t="s">
        <v>74</v>
      </c>
      <c r="BK398" s="44" t="s">
        <v>74</v>
      </c>
      <c r="BL398" s="45" t="s">
        <v>74</v>
      </c>
      <c r="BM398" s="45" t="s">
        <v>74</v>
      </c>
      <c r="BN398" s="44" t="s">
        <v>74</v>
      </c>
      <c r="BO398" s="62" t="s">
        <v>74</v>
      </c>
      <c r="BP398" s="62" t="s">
        <v>74</v>
      </c>
      <c r="BQ398" s="62" t="s">
        <v>74</v>
      </c>
      <c r="BR398" s="62" t="s">
        <v>74</v>
      </c>
      <c r="BS398" s="53" t="s">
        <v>74</v>
      </c>
      <c r="BT398" s="44" t="s">
        <v>74</v>
      </c>
      <c r="BU398" s="44" t="s">
        <v>74</v>
      </c>
      <c r="BV398" s="44" t="s">
        <v>74</v>
      </c>
      <c r="BW398" s="44" t="s">
        <v>74</v>
      </c>
      <c r="BX398" s="44" t="s">
        <v>74</v>
      </c>
      <c r="BY398" s="44" t="s">
        <v>74</v>
      </c>
    </row>
    <row r="399" spans="1:77">
      <c r="A399">
        <v>0</v>
      </c>
      <c r="B399" s="60" t="s">
        <v>74</v>
      </c>
      <c r="C399" s="60" t="s">
        <v>74</v>
      </c>
      <c r="D399" s="61" t="s">
        <v>74</v>
      </c>
      <c r="E399" s="52" t="s">
        <v>74</v>
      </c>
      <c r="F399" s="52" t="s">
        <v>74</v>
      </c>
      <c r="G399" s="52" t="s">
        <v>74</v>
      </c>
      <c r="H399" s="44" t="s">
        <v>74</v>
      </c>
      <c r="I399" s="44" t="s">
        <v>74</v>
      </c>
      <c r="J399" s="44" t="s">
        <v>74</v>
      </c>
      <c r="K399" s="44" t="s">
        <v>74</v>
      </c>
      <c r="L399" s="44" t="s">
        <v>74</v>
      </c>
      <c r="M399" s="44" t="s">
        <v>74</v>
      </c>
      <c r="N399" s="44" t="s">
        <v>74</v>
      </c>
      <c r="O399" s="44" t="s">
        <v>74</v>
      </c>
      <c r="P399" s="44" t="s">
        <v>74</v>
      </c>
      <c r="Q399" s="44" t="s">
        <v>74</v>
      </c>
      <c r="R399" s="44" t="s">
        <v>74</v>
      </c>
      <c r="S399" s="44" t="s">
        <v>74</v>
      </c>
      <c r="T399" s="44" t="s">
        <v>74</v>
      </c>
      <c r="U399" s="44" t="s">
        <v>74</v>
      </c>
      <c r="V399" s="44" t="s">
        <v>74</v>
      </c>
      <c r="W399" s="44" t="s">
        <v>74</v>
      </c>
      <c r="X399" s="44" t="s">
        <v>74</v>
      </c>
      <c r="Y399" s="44" t="s">
        <v>74</v>
      </c>
      <c r="Z399" s="44" t="s">
        <v>74</v>
      </c>
      <c r="AA399" s="44" t="s">
        <v>74</v>
      </c>
      <c r="AB399" s="44" t="s">
        <v>74</v>
      </c>
      <c r="AC399" s="44" t="s">
        <v>74</v>
      </c>
      <c r="AD399" s="44" t="s">
        <v>74</v>
      </c>
      <c r="AE399" s="44" t="s">
        <v>74</v>
      </c>
      <c r="AF399" s="44" t="s">
        <v>74</v>
      </c>
      <c r="AG399" s="44" t="s">
        <v>74</v>
      </c>
      <c r="AH399" s="44" t="s">
        <v>74</v>
      </c>
      <c r="AI399" s="44" t="s">
        <v>74</v>
      </c>
      <c r="AJ399" s="44" t="s">
        <v>74</v>
      </c>
      <c r="AK399" s="44" t="s">
        <v>74</v>
      </c>
      <c r="AL399" s="44" t="s">
        <v>74</v>
      </c>
      <c r="AM399" s="44" t="s">
        <v>74</v>
      </c>
      <c r="AN399" s="44" t="s">
        <v>74</v>
      </c>
      <c r="AO399" s="44" t="s">
        <v>74</v>
      </c>
      <c r="AP399" s="44" t="s">
        <v>74</v>
      </c>
      <c r="AQ399" s="44" t="s">
        <v>74</v>
      </c>
      <c r="AR399" s="44" t="s">
        <v>74</v>
      </c>
      <c r="AS399" s="44" t="s">
        <v>74</v>
      </c>
      <c r="AT399" s="44" t="s">
        <v>74</v>
      </c>
      <c r="AU399" s="44" t="s">
        <v>74</v>
      </c>
      <c r="AV399" s="44" t="s">
        <v>74</v>
      </c>
      <c r="AW399" s="44" t="s">
        <v>74</v>
      </c>
      <c r="AX399" s="62" t="s">
        <v>74</v>
      </c>
      <c r="AY399" s="62" t="s">
        <v>74</v>
      </c>
      <c r="AZ399" s="62" t="s">
        <v>74</v>
      </c>
      <c r="BA399" s="62" t="s">
        <v>74</v>
      </c>
      <c r="BB399" s="62" t="s">
        <v>74</v>
      </c>
      <c r="BC399" s="62" t="s">
        <v>74</v>
      </c>
      <c r="BD399" s="62" t="s">
        <v>74</v>
      </c>
      <c r="BE399" s="44" t="s">
        <v>74</v>
      </c>
      <c r="BF399" s="44" t="s">
        <v>74</v>
      </c>
      <c r="BG399" s="62" t="s">
        <v>74</v>
      </c>
      <c r="BH399" s="62" t="s">
        <v>74</v>
      </c>
      <c r="BI399" s="44" t="s">
        <v>74</v>
      </c>
      <c r="BJ399" s="44" t="s">
        <v>74</v>
      </c>
      <c r="BK399" s="44" t="s">
        <v>74</v>
      </c>
      <c r="BL399" s="45" t="s">
        <v>74</v>
      </c>
      <c r="BM399" s="45" t="s">
        <v>74</v>
      </c>
      <c r="BN399" s="44" t="s">
        <v>74</v>
      </c>
      <c r="BO399" s="62" t="s">
        <v>74</v>
      </c>
      <c r="BP399" s="62" t="s">
        <v>74</v>
      </c>
      <c r="BQ399" s="62" t="s">
        <v>74</v>
      </c>
      <c r="BR399" s="62" t="s">
        <v>74</v>
      </c>
      <c r="BS399" s="53" t="s">
        <v>74</v>
      </c>
      <c r="BT399" s="44" t="s">
        <v>74</v>
      </c>
      <c r="BU399" s="44" t="s">
        <v>74</v>
      </c>
      <c r="BV399" s="44" t="s">
        <v>74</v>
      </c>
      <c r="BW399" s="44" t="s">
        <v>74</v>
      </c>
      <c r="BX399" s="44" t="s">
        <v>74</v>
      </c>
      <c r="BY399" s="44" t="s">
        <v>74</v>
      </c>
    </row>
    <row r="400" spans="1:77">
      <c r="A400">
        <v>0</v>
      </c>
      <c r="B400" s="60" t="s">
        <v>74</v>
      </c>
      <c r="C400" s="60" t="s">
        <v>74</v>
      </c>
      <c r="D400" s="61" t="s">
        <v>74</v>
      </c>
      <c r="E400" s="52" t="s">
        <v>74</v>
      </c>
      <c r="F400" s="52" t="s">
        <v>74</v>
      </c>
      <c r="G400" s="52" t="s">
        <v>74</v>
      </c>
      <c r="H400" s="44" t="s">
        <v>74</v>
      </c>
      <c r="I400" s="44" t="s">
        <v>74</v>
      </c>
      <c r="J400" s="44" t="s">
        <v>74</v>
      </c>
      <c r="K400" s="44" t="s">
        <v>74</v>
      </c>
      <c r="L400" s="44" t="s">
        <v>74</v>
      </c>
      <c r="M400" s="44" t="s">
        <v>74</v>
      </c>
      <c r="N400" s="44" t="s">
        <v>74</v>
      </c>
      <c r="O400" s="44" t="s">
        <v>74</v>
      </c>
      <c r="P400" s="44" t="s">
        <v>74</v>
      </c>
      <c r="Q400" s="44" t="s">
        <v>74</v>
      </c>
      <c r="R400" s="44" t="s">
        <v>74</v>
      </c>
      <c r="S400" s="44" t="s">
        <v>74</v>
      </c>
      <c r="T400" s="44" t="s">
        <v>74</v>
      </c>
      <c r="U400" s="44" t="s">
        <v>74</v>
      </c>
      <c r="V400" s="44" t="s">
        <v>74</v>
      </c>
      <c r="W400" s="44" t="s">
        <v>74</v>
      </c>
      <c r="X400" s="44" t="s">
        <v>74</v>
      </c>
      <c r="Y400" s="44" t="s">
        <v>74</v>
      </c>
      <c r="Z400" s="44" t="s">
        <v>74</v>
      </c>
      <c r="AA400" s="44" t="s">
        <v>74</v>
      </c>
      <c r="AB400" s="44" t="s">
        <v>74</v>
      </c>
      <c r="AC400" s="44" t="s">
        <v>74</v>
      </c>
      <c r="AD400" s="44" t="s">
        <v>74</v>
      </c>
      <c r="AE400" s="44" t="s">
        <v>74</v>
      </c>
      <c r="AF400" s="44" t="s">
        <v>74</v>
      </c>
      <c r="AG400" s="44" t="s">
        <v>74</v>
      </c>
      <c r="AH400" s="44" t="s">
        <v>74</v>
      </c>
      <c r="AI400" s="44" t="s">
        <v>74</v>
      </c>
      <c r="AJ400" s="44" t="s">
        <v>74</v>
      </c>
      <c r="AK400" s="44" t="s">
        <v>74</v>
      </c>
      <c r="AL400" s="44" t="s">
        <v>74</v>
      </c>
      <c r="AM400" s="44" t="s">
        <v>74</v>
      </c>
      <c r="AN400" s="44" t="s">
        <v>74</v>
      </c>
      <c r="AO400" s="44" t="s">
        <v>74</v>
      </c>
      <c r="AP400" s="44" t="s">
        <v>74</v>
      </c>
      <c r="AQ400" s="44" t="s">
        <v>74</v>
      </c>
      <c r="AR400" s="44" t="s">
        <v>74</v>
      </c>
      <c r="AS400" s="44" t="s">
        <v>74</v>
      </c>
      <c r="AT400" s="44" t="s">
        <v>74</v>
      </c>
      <c r="AU400" s="44" t="s">
        <v>74</v>
      </c>
      <c r="AV400" s="44" t="s">
        <v>74</v>
      </c>
      <c r="AW400" s="44" t="s">
        <v>74</v>
      </c>
      <c r="AX400" s="62" t="s">
        <v>74</v>
      </c>
      <c r="AY400" s="62" t="s">
        <v>74</v>
      </c>
      <c r="AZ400" s="62" t="s">
        <v>74</v>
      </c>
      <c r="BA400" s="62" t="s">
        <v>74</v>
      </c>
      <c r="BB400" s="62" t="s">
        <v>74</v>
      </c>
      <c r="BC400" s="62" t="s">
        <v>74</v>
      </c>
      <c r="BD400" s="62" t="s">
        <v>74</v>
      </c>
      <c r="BE400" s="44" t="s">
        <v>74</v>
      </c>
      <c r="BF400" s="44" t="s">
        <v>74</v>
      </c>
      <c r="BG400" s="62" t="s">
        <v>74</v>
      </c>
      <c r="BH400" s="62" t="s">
        <v>74</v>
      </c>
      <c r="BI400" s="44" t="s">
        <v>74</v>
      </c>
      <c r="BJ400" s="44" t="s">
        <v>74</v>
      </c>
      <c r="BK400" s="44" t="s">
        <v>74</v>
      </c>
      <c r="BL400" s="45" t="s">
        <v>74</v>
      </c>
      <c r="BM400" s="45" t="s">
        <v>74</v>
      </c>
      <c r="BN400" s="44" t="s">
        <v>74</v>
      </c>
      <c r="BO400" s="62" t="s">
        <v>74</v>
      </c>
      <c r="BP400" s="62" t="s">
        <v>74</v>
      </c>
      <c r="BQ400" s="62" t="s">
        <v>74</v>
      </c>
      <c r="BR400" s="62" t="s">
        <v>74</v>
      </c>
      <c r="BS400" s="53" t="s">
        <v>74</v>
      </c>
      <c r="BT400" s="44" t="s">
        <v>74</v>
      </c>
      <c r="BU400" s="44" t="s">
        <v>74</v>
      </c>
      <c r="BV400" s="44" t="s">
        <v>74</v>
      </c>
      <c r="BW400" s="44" t="s">
        <v>74</v>
      </c>
      <c r="BX400" s="44" t="s">
        <v>74</v>
      </c>
      <c r="BY400" s="44" t="s">
        <v>74</v>
      </c>
    </row>
    <row r="401" spans="1:77">
      <c r="A401">
        <v>0</v>
      </c>
      <c r="B401" s="60" t="s">
        <v>74</v>
      </c>
      <c r="C401" s="60" t="s">
        <v>74</v>
      </c>
      <c r="D401" s="61" t="s">
        <v>74</v>
      </c>
      <c r="E401" s="52" t="s">
        <v>74</v>
      </c>
      <c r="F401" s="52" t="s">
        <v>74</v>
      </c>
      <c r="G401" s="52" t="s">
        <v>74</v>
      </c>
      <c r="H401" s="44" t="s">
        <v>74</v>
      </c>
      <c r="I401" s="44" t="s">
        <v>74</v>
      </c>
      <c r="J401" s="44" t="s">
        <v>74</v>
      </c>
      <c r="K401" s="44" t="s">
        <v>74</v>
      </c>
      <c r="L401" s="44" t="s">
        <v>74</v>
      </c>
      <c r="M401" s="44" t="s">
        <v>74</v>
      </c>
      <c r="N401" s="44" t="s">
        <v>74</v>
      </c>
      <c r="O401" s="44" t="s">
        <v>74</v>
      </c>
      <c r="P401" s="44" t="s">
        <v>74</v>
      </c>
      <c r="Q401" s="44" t="s">
        <v>74</v>
      </c>
      <c r="R401" s="44" t="s">
        <v>74</v>
      </c>
      <c r="S401" s="44" t="s">
        <v>74</v>
      </c>
      <c r="T401" s="44" t="s">
        <v>74</v>
      </c>
      <c r="U401" s="44" t="s">
        <v>74</v>
      </c>
      <c r="V401" s="44" t="s">
        <v>74</v>
      </c>
      <c r="W401" s="44" t="s">
        <v>74</v>
      </c>
      <c r="X401" s="44" t="s">
        <v>74</v>
      </c>
      <c r="Y401" s="44" t="s">
        <v>74</v>
      </c>
      <c r="Z401" s="44" t="s">
        <v>74</v>
      </c>
      <c r="AA401" s="44" t="s">
        <v>74</v>
      </c>
      <c r="AB401" s="44" t="s">
        <v>74</v>
      </c>
      <c r="AC401" s="44" t="s">
        <v>74</v>
      </c>
      <c r="AD401" s="44" t="s">
        <v>74</v>
      </c>
      <c r="AE401" s="44" t="s">
        <v>74</v>
      </c>
      <c r="AF401" s="44" t="s">
        <v>74</v>
      </c>
      <c r="AG401" s="44" t="s">
        <v>74</v>
      </c>
      <c r="AH401" s="44" t="s">
        <v>74</v>
      </c>
      <c r="AI401" s="44" t="s">
        <v>74</v>
      </c>
      <c r="AJ401" s="44" t="s">
        <v>74</v>
      </c>
      <c r="AK401" s="44" t="s">
        <v>74</v>
      </c>
      <c r="AL401" s="44" t="s">
        <v>74</v>
      </c>
      <c r="AM401" s="44" t="s">
        <v>74</v>
      </c>
      <c r="AN401" s="44" t="s">
        <v>74</v>
      </c>
      <c r="AO401" s="44" t="s">
        <v>74</v>
      </c>
      <c r="AP401" s="44" t="s">
        <v>74</v>
      </c>
      <c r="AQ401" s="44" t="s">
        <v>74</v>
      </c>
      <c r="AR401" s="44" t="s">
        <v>74</v>
      </c>
      <c r="AS401" s="44" t="s">
        <v>74</v>
      </c>
      <c r="AT401" s="44" t="s">
        <v>74</v>
      </c>
      <c r="AU401" s="44" t="s">
        <v>74</v>
      </c>
      <c r="AV401" s="44" t="s">
        <v>74</v>
      </c>
      <c r="AW401" s="44" t="s">
        <v>74</v>
      </c>
      <c r="AX401" s="62" t="s">
        <v>74</v>
      </c>
      <c r="AY401" s="62" t="s">
        <v>74</v>
      </c>
      <c r="AZ401" s="62" t="s">
        <v>74</v>
      </c>
      <c r="BA401" s="62" t="s">
        <v>74</v>
      </c>
      <c r="BB401" s="62" t="s">
        <v>74</v>
      </c>
      <c r="BC401" s="62" t="s">
        <v>74</v>
      </c>
      <c r="BD401" s="62" t="s">
        <v>74</v>
      </c>
      <c r="BE401" s="44" t="s">
        <v>74</v>
      </c>
      <c r="BF401" s="44" t="s">
        <v>74</v>
      </c>
      <c r="BG401" s="62" t="s">
        <v>74</v>
      </c>
      <c r="BH401" s="62" t="s">
        <v>74</v>
      </c>
      <c r="BI401" s="44" t="s">
        <v>74</v>
      </c>
      <c r="BJ401" s="44" t="s">
        <v>74</v>
      </c>
      <c r="BK401" s="44" t="s">
        <v>74</v>
      </c>
      <c r="BL401" s="45" t="s">
        <v>74</v>
      </c>
      <c r="BM401" s="45" t="s">
        <v>74</v>
      </c>
      <c r="BN401" s="44" t="s">
        <v>74</v>
      </c>
      <c r="BO401" s="62" t="s">
        <v>74</v>
      </c>
      <c r="BP401" s="62" t="s">
        <v>74</v>
      </c>
      <c r="BQ401" s="62" t="s">
        <v>74</v>
      </c>
      <c r="BR401" s="62" t="s">
        <v>74</v>
      </c>
      <c r="BS401" s="53" t="s">
        <v>74</v>
      </c>
      <c r="BT401" s="44" t="s">
        <v>74</v>
      </c>
      <c r="BU401" s="44" t="s">
        <v>74</v>
      </c>
      <c r="BV401" s="44" t="s">
        <v>74</v>
      </c>
      <c r="BW401" s="44" t="s">
        <v>74</v>
      </c>
      <c r="BX401" s="44" t="s">
        <v>74</v>
      </c>
      <c r="BY401" s="44" t="s">
        <v>74</v>
      </c>
    </row>
    <row r="402" spans="1:77">
      <c r="A402">
        <v>0</v>
      </c>
      <c r="B402" s="60" t="s">
        <v>74</v>
      </c>
      <c r="C402" s="60" t="s">
        <v>74</v>
      </c>
      <c r="D402" s="61" t="s">
        <v>74</v>
      </c>
      <c r="E402" s="52" t="s">
        <v>74</v>
      </c>
      <c r="F402" s="52" t="s">
        <v>74</v>
      </c>
      <c r="G402" s="52" t="s">
        <v>74</v>
      </c>
      <c r="H402" s="44" t="s">
        <v>74</v>
      </c>
      <c r="I402" s="44" t="s">
        <v>74</v>
      </c>
      <c r="J402" s="44" t="s">
        <v>74</v>
      </c>
      <c r="K402" s="44" t="s">
        <v>74</v>
      </c>
      <c r="L402" s="44" t="s">
        <v>74</v>
      </c>
      <c r="M402" s="44" t="s">
        <v>74</v>
      </c>
      <c r="N402" s="44" t="s">
        <v>74</v>
      </c>
      <c r="O402" s="44" t="s">
        <v>74</v>
      </c>
      <c r="P402" s="44" t="s">
        <v>74</v>
      </c>
      <c r="Q402" s="44" t="s">
        <v>74</v>
      </c>
      <c r="R402" s="44" t="s">
        <v>74</v>
      </c>
      <c r="S402" s="44" t="s">
        <v>74</v>
      </c>
      <c r="T402" s="44" t="s">
        <v>74</v>
      </c>
      <c r="U402" s="44" t="s">
        <v>74</v>
      </c>
      <c r="V402" s="44" t="s">
        <v>74</v>
      </c>
      <c r="W402" s="44" t="s">
        <v>74</v>
      </c>
      <c r="X402" s="44" t="s">
        <v>74</v>
      </c>
      <c r="Y402" s="44" t="s">
        <v>74</v>
      </c>
      <c r="Z402" s="44" t="s">
        <v>74</v>
      </c>
      <c r="AA402" s="44" t="s">
        <v>74</v>
      </c>
      <c r="AB402" s="44" t="s">
        <v>74</v>
      </c>
      <c r="AC402" s="44" t="s">
        <v>74</v>
      </c>
      <c r="AD402" s="44" t="s">
        <v>74</v>
      </c>
      <c r="AE402" s="44" t="s">
        <v>74</v>
      </c>
      <c r="AF402" s="44" t="s">
        <v>74</v>
      </c>
      <c r="AG402" s="44" t="s">
        <v>74</v>
      </c>
      <c r="AH402" s="44" t="s">
        <v>74</v>
      </c>
      <c r="AI402" s="44" t="s">
        <v>74</v>
      </c>
      <c r="AJ402" s="44" t="s">
        <v>74</v>
      </c>
      <c r="AK402" s="44" t="s">
        <v>74</v>
      </c>
      <c r="AL402" s="44" t="s">
        <v>74</v>
      </c>
      <c r="AM402" s="44" t="s">
        <v>74</v>
      </c>
      <c r="AN402" s="44" t="s">
        <v>74</v>
      </c>
      <c r="AO402" s="44" t="s">
        <v>74</v>
      </c>
      <c r="AP402" s="44" t="s">
        <v>74</v>
      </c>
      <c r="AQ402" s="44" t="s">
        <v>74</v>
      </c>
      <c r="AR402" s="44" t="s">
        <v>74</v>
      </c>
      <c r="AS402" s="44" t="s">
        <v>74</v>
      </c>
      <c r="AT402" s="44" t="s">
        <v>74</v>
      </c>
      <c r="AU402" s="44" t="s">
        <v>74</v>
      </c>
      <c r="AV402" s="44" t="s">
        <v>74</v>
      </c>
      <c r="AW402" s="44" t="s">
        <v>74</v>
      </c>
      <c r="AX402" s="62" t="s">
        <v>74</v>
      </c>
      <c r="AY402" s="62" t="s">
        <v>74</v>
      </c>
      <c r="AZ402" s="62" t="s">
        <v>74</v>
      </c>
      <c r="BA402" s="62" t="s">
        <v>74</v>
      </c>
      <c r="BB402" s="62" t="s">
        <v>74</v>
      </c>
      <c r="BC402" s="62" t="s">
        <v>74</v>
      </c>
      <c r="BD402" s="62" t="s">
        <v>74</v>
      </c>
      <c r="BE402" s="44" t="s">
        <v>74</v>
      </c>
      <c r="BF402" s="44" t="s">
        <v>74</v>
      </c>
      <c r="BG402" s="62" t="s">
        <v>74</v>
      </c>
      <c r="BH402" s="62" t="s">
        <v>74</v>
      </c>
      <c r="BI402" s="44" t="s">
        <v>74</v>
      </c>
      <c r="BJ402" s="44" t="s">
        <v>74</v>
      </c>
      <c r="BK402" s="44" t="s">
        <v>74</v>
      </c>
      <c r="BL402" s="45" t="s">
        <v>74</v>
      </c>
      <c r="BM402" s="45" t="s">
        <v>74</v>
      </c>
      <c r="BN402" s="44" t="s">
        <v>74</v>
      </c>
      <c r="BO402" s="62" t="s">
        <v>74</v>
      </c>
      <c r="BP402" s="62" t="s">
        <v>74</v>
      </c>
      <c r="BQ402" s="62" t="s">
        <v>74</v>
      </c>
      <c r="BR402" s="62" t="s">
        <v>74</v>
      </c>
      <c r="BS402" s="53" t="s">
        <v>74</v>
      </c>
      <c r="BT402" s="44" t="s">
        <v>74</v>
      </c>
      <c r="BU402" s="44" t="s">
        <v>74</v>
      </c>
      <c r="BV402" s="44" t="s">
        <v>74</v>
      </c>
      <c r="BW402" s="44" t="s">
        <v>74</v>
      </c>
      <c r="BX402" s="44" t="s">
        <v>74</v>
      </c>
      <c r="BY402" s="44" t="s">
        <v>74</v>
      </c>
    </row>
    <row r="403" spans="1:77">
      <c r="A403">
        <v>0</v>
      </c>
      <c r="B403" s="60" t="s">
        <v>74</v>
      </c>
      <c r="C403" s="60" t="s">
        <v>74</v>
      </c>
      <c r="D403" s="61" t="s">
        <v>74</v>
      </c>
      <c r="E403" s="52" t="s">
        <v>74</v>
      </c>
      <c r="F403" s="52" t="s">
        <v>74</v>
      </c>
      <c r="G403" s="52" t="s">
        <v>74</v>
      </c>
      <c r="H403" s="44" t="s">
        <v>74</v>
      </c>
      <c r="I403" s="44" t="s">
        <v>74</v>
      </c>
      <c r="J403" s="44" t="s">
        <v>74</v>
      </c>
      <c r="K403" s="44" t="s">
        <v>74</v>
      </c>
      <c r="L403" s="44" t="s">
        <v>74</v>
      </c>
      <c r="M403" s="44" t="s">
        <v>74</v>
      </c>
      <c r="N403" s="44" t="s">
        <v>74</v>
      </c>
      <c r="O403" s="44" t="s">
        <v>74</v>
      </c>
      <c r="P403" s="44" t="s">
        <v>74</v>
      </c>
      <c r="Q403" s="44" t="s">
        <v>74</v>
      </c>
      <c r="R403" s="44" t="s">
        <v>74</v>
      </c>
      <c r="S403" s="44" t="s">
        <v>74</v>
      </c>
      <c r="T403" s="44" t="s">
        <v>74</v>
      </c>
      <c r="U403" s="44" t="s">
        <v>74</v>
      </c>
      <c r="V403" s="44" t="s">
        <v>74</v>
      </c>
      <c r="W403" s="44" t="s">
        <v>74</v>
      </c>
      <c r="X403" s="44" t="s">
        <v>74</v>
      </c>
      <c r="Y403" s="44" t="s">
        <v>74</v>
      </c>
      <c r="Z403" s="44" t="s">
        <v>74</v>
      </c>
      <c r="AA403" s="44" t="s">
        <v>74</v>
      </c>
      <c r="AB403" s="44" t="s">
        <v>74</v>
      </c>
      <c r="AC403" s="44" t="s">
        <v>74</v>
      </c>
      <c r="AD403" s="44" t="s">
        <v>74</v>
      </c>
      <c r="AE403" s="44" t="s">
        <v>74</v>
      </c>
      <c r="AF403" s="44" t="s">
        <v>74</v>
      </c>
      <c r="AG403" s="44" t="s">
        <v>74</v>
      </c>
      <c r="AH403" s="44" t="s">
        <v>74</v>
      </c>
      <c r="AI403" s="44" t="s">
        <v>74</v>
      </c>
      <c r="AJ403" s="44" t="s">
        <v>74</v>
      </c>
      <c r="AK403" s="44" t="s">
        <v>74</v>
      </c>
      <c r="AL403" s="44" t="s">
        <v>74</v>
      </c>
      <c r="AM403" s="44" t="s">
        <v>74</v>
      </c>
      <c r="AN403" s="44" t="s">
        <v>74</v>
      </c>
      <c r="AO403" s="44" t="s">
        <v>74</v>
      </c>
      <c r="AP403" s="44" t="s">
        <v>74</v>
      </c>
      <c r="AQ403" s="44" t="s">
        <v>74</v>
      </c>
      <c r="AR403" s="44" t="s">
        <v>74</v>
      </c>
      <c r="AS403" s="44" t="s">
        <v>74</v>
      </c>
      <c r="AT403" s="44" t="s">
        <v>74</v>
      </c>
      <c r="AU403" s="44" t="s">
        <v>74</v>
      </c>
      <c r="AV403" s="44" t="s">
        <v>74</v>
      </c>
      <c r="AW403" s="44" t="s">
        <v>74</v>
      </c>
      <c r="AX403" s="62" t="s">
        <v>74</v>
      </c>
      <c r="AY403" s="62" t="s">
        <v>74</v>
      </c>
      <c r="AZ403" s="62" t="s">
        <v>74</v>
      </c>
      <c r="BA403" s="62" t="s">
        <v>74</v>
      </c>
      <c r="BB403" s="62" t="s">
        <v>74</v>
      </c>
      <c r="BC403" s="62" t="s">
        <v>74</v>
      </c>
      <c r="BD403" s="62" t="s">
        <v>74</v>
      </c>
      <c r="BE403" s="44" t="s">
        <v>74</v>
      </c>
      <c r="BF403" s="44" t="s">
        <v>74</v>
      </c>
      <c r="BG403" s="62" t="s">
        <v>74</v>
      </c>
      <c r="BH403" s="62" t="s">
        <v>74</v>
      </c>
      <c r="BI403" s="44" t="s">
        <v>74</v>
      </c>
      <c r="BJ403" s="44" t="s">
        <v>74</v>
      </c>
      <c r="BK403" s="44" t="s">
        <v>74</v>
      </c>
      <c r="BL403" s="45" t="s">
        <v>74</v>
      </c>
      <c r="BM403" s="45" t="s">
        <v>74</v>
      </c>
      <c r="BN403" s="44" t="s">
        <v>74</v>
      </c>
      <c r="BO403" s="62" t="s">
        <v>74</v>
      </c>
      <c r="BP403" s="62" t="s">
        <v>74</v>
      </c>
      <c r="BQ403" s="62" t="s">
        <v>74</v>
      </c>
      <c r="BR403" s="62" t="s">
        <v>74</v>
      </c>
      <c r="BS403" s="53" t="s">
        <v>74</v>
      </c>
      <c r="BT403" s="44" t="s">
        <v>74</v>
      </c>
      <c r="BU403" s="44" t="s">
        <v>74</v>
      </c>
      <c r="BV403" s="44" t="s">
        <v>74</v>
      </c>
      <c r="BW403" s="44" t="s">
        <v>74</v>
      </c>
      <c r="BX403" s="44" t="s">
        <v>74</v>
      </c>
      <c r="BY403" s="44" t="s">
        <v>74</v>
      </c>
    </row>
    <row r="404" spans="1:77">
      <c r="A404">
        <v>0</v>
      </c>
      <c r="B404" s="60" t="s">
        <v>74</v>
      </c>
      <c r="C404" s="60" t="s">
        <v>74</v>
      </c>
      <c r="D404" s="61" t="s">
        <v>74</v>
      </c>
      <c r="E404" s="52" t="s">
        <v>74</v>
      </c>
      <c r="F404" s="52" t="s">
        <v>74</v>
      </c>
      <c r="G404" s="52" t="s">
        <v>74</v>
      </c>
      <c r="H404" s="44" t="s">
        <v>74</v>
      </c>
      <c r="I404" s="44" t="s">
        <v>74</v>
      </c>
      <c r="J404" s="44" t="s">
        <v>74</v>
      </c>
      <c r="K404" s="44" t="s">
        <v>74</v>
      </c>
      <c r="L404" s="44" t="s">
        <v>74</v>
      </c>
      <c r="M404" s="44" t="s">
        <v>74</v>
      </c>
      <c r="N404" s="44" t="s">
        <v>74</v>
      </c>
      <c r="O404" s="44" t="s">
        <v>74</v>
      </c>
      <c r="P404" s="44" t="s">
        <v>74</v>
      </c>
      <c r="Q404" s="44" t="s">
        <v>74</v>
      </c>
      <c r="R404" s="44" t="s">
        <v>74</v>
      </c>
      <c r="S404" s="44" t="s">
        <v>74</v>
      </c>
      <c r="T404" s="44" t="s">
        <v>74</v>
      </c>
      <c r="U404" s="44" t="s">
        <v>74</v>
      </c>
      <c r="V404" s="44" t="s">
        <v>74</v>
      </c>
      <c r="W404" s="44" t="s">
        <v>74</v>
      </c>
      <c r="X404" s="44" t="s">
        <v>74</v>
      </c>
      <c r="Y404" s="44" t="s">
        <v>74</v>
      </c>
      <c r="Z404" s="44" t="s">
        <v>74</v>
      </c>
      <c r="AA404" s="44" t="s">
        <v>74</v>
      </c>
      <c r="AB404" s="44" t="s">
        <v>74</v>
      </c>
      <c r="AC404" s="44" t="s">
        <v>74</v>
      </c>
      <c r="AD404" s="44" t="s">
        <v>74</v>
      </c>
      <c r="AE404" s="44" t="s">
        <v>74</v>
      </c>
      <c r="AF404" s="44" t="s">
        <v>74</v>
      </c>
      <c r="AG404" s="44" t="s">
        <v>74</v>
      </c>
      <c r="AH404" s="44" t="s">
        <v>74</v>
      </c>
      <c r="AI404" s="44" t="s">
        <v>74</v>
      </c>
      <c r="AJ404" s="44" t="s">
        <v>74</v>
      </c>
      <c r="AK404" s="44" t="s">
        <v>74</v>
      </c>
      <c r="AL404" s="44" t="s">
        <v>74</v>
      </c>
      <c r="AM404" s="44" t="s">
        <v>74</v>
      </c>
      <c r="AN404" s="44" t="s">
        <v>74</v>
      </c>
      <c r="AO404" s="44" t="s">
        <v>74</v>
      </c>
      <c r="AP404" s="44" t="s">
        <v>74</v>
      </c>
      <c r="AQ404" s="44" t="s">
        <v>74</v>
      </c>
      <c r="AR404" s="44" t="s">
        <v>74</v>
      </c>
      <c r="AS404" s="44" t="s">
        <v>74</v>
      </c>
      <c r="AT404" s="44" t="s">
        <v>74</v>
      </c>
      <c r="AU404" s="44" t="s">
        <v>74</v>
      </c>
      <c r="AV404" s="44" t="s">
        <v>74</v>
      </c>
      <c r="AW404" s="44" t="s">
        <v>74</v>
      </c>
      <c r="AX404" s="62" t="s">
        <v>74</v>
      </c>
      <c r="AY404" s="62" t="s">
        <v>74</v>
      </c>
      <c r="AZ404" s="62" t="s">
        <v>74</v>
      </c>
      <c r="BA404" s="62" t="s">
        <v>74</v>
      </c>
      <c r="BB404" s="62" t="s">
        <v>74</v>
      </c>
      <c r="BC404" s="62" t="s">
        <v>74</v>
      </c>
      <c r="BD404" s="62" t="s">
        <v>74</v>
      </c>
      <c r="BE404" s="44" t="s">
        <v>74</v>
      </c>
      <c r="BF404" s="44" t="s">
        <v>74</v>
      </c>
      <c r="BG404" s="62" t="s">
        <v>74</v>
      </c>
      <c r="BH404" s="62" t="s">
        <v>74</v>
      </c>
      <c r="BI404" s="44" t="s">
        <v>74</v>
      </c>
      <c r="BJ404" s="44" t="s">
        <v>74</v>
      </c>
      <c r="BK404" s="44" t="s">
        <v>74</v>
      </c>
      <c r="BL404" s="45" t="s">
        <v>74</v>
      </c>
      <c r="BM404" s="45" t="s">
        <v>74</v>
      </c>
      <c r="BN404" s="44" t="s">
        <v>74</v>
      </c>
      <c r="BO404" s="62" t="s">
        <v>74</v>
      </c>
      <c r="BP404" s="62" t="s">
        <v>74</v>
      </c>
      <c r="BQ404" s="62" t="s">
        <v>74</v>
      </c>
      <c r="BR404" s="62" t="s">
        <v>74</v>
      </c>
      <c r="BS404" s="53" t="s">
        <v>74</v>
      </c>
      <c r="BT404" s="44" t="s">
        <v>74</v>
      </c>
      <c r="BU404" s="44" t="s">
        <v>74</v>
      </c>
      <c r="BV404" s="44" t="s">
        <v>74</v>
      </c>
      <c r="BW404" s="44" t="s">
        <v>74</v>
      </c>
      <c r="BX404" s="44" t="s">
        <v>74</v>
      </c>
      <c r="BY404" s="44" t="s">
        <v>74</v>
      </c>
    </row>
    <row r="405" spans="1:77">
      <c r="A405">
        <v>0</v>
      </c>
      <c r="B405" s="60" t="s">
        <v>74</v>
      </c>
      <c r="C405" s="60" t="s">
        <v>74</v>
      </c>
      <c r="D405" s="61" t="s">
        <v>74</v>
      </c>
      <c r="E405" s="52" t="s">
        <v>74</v>
      </c>
      <c r="F405" s="52" t="s">
        <v>74</v>
      </c>
      <c r="G405" s="52" t="s">
        <v>74</v>
      </c>
      <c r="H405" s="44" t="s">
        <v>74</v>
      </c>
      <c r="I405" s="44" t="s">
        <v>74</v>
      </c>
      <c r="J405" s="44" t="s">
        <v>74</v>
      </c>
      <c r="K405" s="44" t="s">
        <v>74</v>
      </c>
      <c r="L405" s="44" t="s">
        <v>74</v>
      </c>
      <c r="M405" s="44" t="s">
        <v>74</v>
      </c>
      <c r="N405" s="44" t="s">
        <v>74</v>
      </c>
      <c r="O405" s="44" t="s">
        <v>74</v>
      </c>
      <c r="P405" s="44" t="s">
        <v>74</v>
      </c>
      <c r="Q405" s="44" t="s">
        <v>74</v>
      </c>
      <c r="R405" s="44" t="s">
        <v>74</v>
      </c>
      <c r="S405" s="44" t="s">
        <v>74</v>
      </c>
      <c r="T405" s="44" t="s">
        <v>74</v>
      </c>
      <c r="U405" s="44" t="s">
        <v>74</v>
      </c>
      <c r="V405" s="44" t="s">
        <v>74</v>
      </c>
      <c r="W405" s="44" t="s">
        <v>74</v>
      </c>
      <c r="X405" s="44" t="s">
        <v>74</v>
      </c>
      <c r="Y405" s="44" t="s">
        <v>74</v>
      </c>
      <c r="Z405" s="44" t="s">
        <v>74</v>
      </c>
      <c r="AA405" s="44" t="s">
        <v>74</v>
      </c>
      <c r="AB405" s="44" t="s">
        <v>74</v>
      </c>
      <c r="AC405" s="44" t="s">
        <v>74</v>
      </c>
      <c r="AD405" s="44" t="s">
        <v>74</v>
      </c>
      <c r="AE405" s="44" t="s">
        <v>74</v>
      </c>
      <c r="AF405" s="44" t="s">
        <v>74</v>
      </c>
      <c r="AG405" s="44" t="s">
        <v>74</v>
      </c>
      <c r="AH405" s="44" t="s">
        <v>74</v>
      </c>
      <c r="AI405" s="44" t="s">
        <v>74</v>
      </c>
      <c r="AJ405" s="44" t="s">
        <v>74</v>
      </c>
      <c r="AK405" s="44" t="s">
        <v>74</v>
      </c>
      <c r="AL405" s="44" t="s">
        <v>74</v>
      </c>
      <c r="AM405" s="44" t="s">
        <v>74</v>
      </c>
      <c r="AN405" s="44" t="s">
        <v>74</v>
      </c>
      <c r="AO405" s="44" t="s">
        <v>74</v>
      </c>
      <c r="AP405" s="44" t="s">
        <v>74</v>
      </c>
      <c r="AQ405" s="44" t="s">
        <v>74</v>
      </c>
      <c r="AR405" s="44" t="s">
        <v>74</v>
      </c>
      <c r="AS405" s="44" t="s">
        <v>74</v>
      </c>
      <c r="AT405" s="44" t="s">
        <v>74</v>
      </c>
      <c r="AU405" s="44" t="s">
        <v>74</v>
      </c>
      <c r="AV405" s="44" t="s">
        <v>74</v>
      </c>
      <c r="AW405" s="44" t="s">
        <v>74</v>
      </c>
      <c r="AX405" s="62" t="s">
        <v>74</v>
      </c>
      <c r="AY405" s="62" t="s">
        <v>74</v>
      </c>
      <c r="AZ405" s="62" t="s">
        <v>74</v>
      </c>
      <c r="BA405" s="62" t="s">
        <v>74</v>
      </c>
      <c r="BB405" s="62" t="s">
        <v>74</v>
      </c>
      <c r="BC405" s="62" t="s">
        <v>74</v>
      </c>
      <c r="BD405" s="62" t="s">
        <v>74</v>
      </c>
      <c r="BE405" s="44" t="s">
        <v>74</v>
      </c>
      <c r="BF405" s="44" t="s">
        <v>74</v>
      </c>
      <c r="BG405" s="62" t="s">
        <v>74</v>
      </c>
      <c r="BH405" s="62" t="s">
        <v>74</v>
      </c>
      <c r="BI405" s="44" t="s">
        <v>74</v>
      </c>
      <c r="BJ405" s="44" t="s">
        <v>74</v>
      </c>
      <c r="BK405" s="44" t="s">
        <v>74</v>
      </c>
      <c r="BL405" s="45" t="s">
        <v>74</v>
      </c>
      <c r="BM405" s="45" t="s">
        <v>74</v>
      </c>
      <c r="BN405" s="44" t="s">
        <v>74</v>
      </c>
      <c r="BO405" s="62" t="s">
        <v>74</v>
      </c>
      <c r="BP405" s="62" t="s">
        <v>74</v>
      </c>
      <c r="BQ405" s="62" t="s">
        <v>74</v>
      </c>
      <c r="BR405" s="62" t="s">
        <v>74</v>
      </c>
      <c r="BS405" s="53" t="s">
        <v>74</v>
      </c>
      <c r="BT405" s="44" t="s">
        <v>74</v>
      </c>
      <c r="BU405" s="44" t="s">
        <v>74</v>
      </c>
      <c r="BV405" s="44" t="s">
        <v>74</v>
      </c>
      <c r="BW405" s="44" t="s">
        <v>74</v>
      </c>
      <c r="BX405" s="44" t="s">
        <v>74</v>
      </c>
      <c r="BY405" s="44" t="s">
        <v>74</v>
      </c>
    </row>
    <row r="406" spans="1:77">
      <c r="A406">
        <v>0</v>
      </c>
      <c r="B406" s="60" t="s">
        <v>74</v>
      </c>
      <c r="C406" s="60" t="s">
        <v>74</v>
      </c>
      <c r="D406" s="61" t="s">
        <v>74</v>
      </c>
      <c r="E406" s="52" t="s">
        <v>74</v>
      </c>
      <c r="F406" s="52" t="s">
        <v>74</v>
      </c>
      <c r="G406" s="52" t="s">
        <v>74</v>
      </c>
      <c r="H406" s="44" t="s">
        <v>74</v>
      </c>
      <c r="I406" s="44" t="s">
        <v>74</v>
      </c>
      <c r="J406" s="44" t="s">
        <v>74</v>
      </c>
      <c r="K406" s="44" t="s">
        <v>74</v>
      </c>
      <c r="L406" s="44" t="s">
        <v>74</v>
      </c>
      <c r="M406" s="44" t="s">
        <v>74</v>
      </c>
      <c r="N406" s="44" t="s">
        <v>74</v>
      </c>
      <c r="O406" s="44" t="s">
        <v>74</v>
      </c>
      <c r="P406" s="44" t="s">
        <v>74</v>
      </c>
      <c r="Q406" s="44" t="s">
        <v>74</v>
      </c>
      <c r="R406" s="44" t="s">
        <v>74</v>
      </c>
      <c r="S406" s="44" t="s">
        <v>74</v>
      </c>
      <c r="T406" s="44" t="s">
        <v>74</v>
      </c>
      <c r="U406" s="44" t="s">
        <v>74</v>
      </c>
      <c r="V406" s="44" t="s">
        <v>74</v>
      </c>
      <c r="W406" s="44" t="s">
        <v>74</v>
      </c>
      <c r="X406" s="44" t="s">
        <v>74</v>
      </c>
      <c r="Y406" s="44" t="s">
        <v>74</v>
      </c>
      <c r="Z406" s="44" t="s">
        <v>74</v>
      </c>
      <c r="AA406" s="44" t="s">
        <v>74</v>
      </c>
      <c r="AB406" s="44" t="s">
        <v>74</v>
      </c>
      <c r="AC406" s="44" t="s">
        <v>74</v>
      </c>
      <c r="AD406" s="44" t="s">
        <v>74</v>
      </c>
      <c r="AE406" s="44" t="s">
        <v>74</v>
      </c>
      <c r="AF406" s="44" t="s">
        <v>74</v>
      </c>
      <c r="AG406" s="44" t="s">
        <v>74</v>
      </c>
      <c r="AH406" s="44" t="s">
        <v>74</v>
      </c>
      <c r="AI406" s="44" t="s">
        <v>74</v>
      </c>
      <c r="AJ406" s="44" t="s">
        <v>74</v>
      </c>
      <c r="AK406" s="44" t="s">
        <v>74</v>
      </c>
      <c r="AL406" s="44" t="s">
        <v>74</v>
      </c>
      <c r="AM406" s="44" t="s">
        <v>74</v>
      </c>
      <c r="AN406" s="44" t="s">
        <v>74</v>
      </c>
      <c r="AO406" s="44" t="s">
        <v>74</v>
      </c>
      <c r="AP406" s="44" t="s">
        <v>74</v>
      </c>
      <c r="AQ406" s="44" t="s">
        <v>74</v>
      </c>
      <c r="AR406" s="44" t="s">
        <v>74</v>
      </c>
      <c r="AS406" s="44" t="s">
        <v>74</v>
      </c>
      <c r="AT406" s="44" t="s">
        <v>74</v>
      </c>
      <c r="AU406" s="44" t="s">
        <v>74</v>
      </c>
      <c r="AV406" s="44" t="s">
        <v>74</v>
      </c>
      <c r="AW406" s="44" t="s">
        <v>74</v>
      </c>
      <c r="AX406" s="62" t="s">
        <v>74</v>
      </c>
      <c r="AY406" s="62" t="s">
        <v>74</v>
      </c>
      <c r="AZ406" s="62" t="s">
        <v>74</v>
      </c>
      <c r="BA406" s="62" t="s">
        <v>74</v>
      </c>
      <c r="BB406" s="62" t="s">
        <v>74</v>
      </c>
      <c r="BC406" s="62" t="s">
        <v>74</v>
      </c>
      <c r="BD406" s="62" t="s">
        <v>74</v>
      </c>
      <c r="BE406" s="44" t="s">
        <v>74</v>
      </c>
      <c r="BF406" s="44" t="s">
        <v>74</v>
      </c>
      <c r="BG406" s="62" t="s">
        <v>74</v>
      </c>
      <c r="BH406" s="62" t="s">
        <v>74</v>
      </c>
      <c r="BI406" s="44" t="s">
        <v>74</v>
      </c>
      <c r="BJ406" s="44" t="s">
        <v>74</v>
      </c>
      <c r="BK406" s="44" t="s">
        <v>74</v>
      </c>
      <c r="BL406" s="45" t="s">
        <v>74</v>
      </c>
      <c r="BM406" s="45" t="s">
        <v>74</v>
      </c>
      <c r="BN406" s="44" t="s">
        <v>74</v>
      </c>
      <c r="BO406" s="62" t="s">
        <v>74</v>
      </c>
      <c r="BP406" s="62" t="s">
        <v>74</v>
      </c>
      <c r="BQ406" s="62" t="s">
        <v>74</v>
      </c>
      <c r="BR406" s="62" t="s">
        <v>74</v>
      </c>
      <c r="BS406" s="53" t="s">
        <v>74</v>
      </c>
      <c r="BT406" s="44" t="s">
        <v>74</v>
      </c>
      <c r="BU406" s="44" t="s">
        <v>74</v>
      </c>
      <c r="BV406" s="44" t="s">
        <v>74</v>
      </c>
      <c r="BW406" s="44" t="s">
        <v>74</v>
      </c>
      <c r="BX406" s="44" t="s">
        <v>74</v>
      </c>
      <c r="BY406" s="44" t="s">
        <v>74</v>
      </c>
    </row>
    <row r="407" spans="1:77">
      <c r="A407">
        <v>0</v>
      </c>
      <c r="B407" s="60" t="s">
        <v>74</v>
      </c>
      <c r="C407" s="60" t="s">
        <v>74</v>
      </c>
      <c r="D407" s="61" t="s">
        <v>74</v>
      </c>
      <c r="E407" s="52" t="s">
        <v>74</v>
      </c>
      <c r="F407" s="52" t="s">
        <v>74</v>
      </c>
      <c r="G407" s="52" t="s">
        <v>74</v>
      </c>
      <c r="H407" s="44" t="s">
        <v>74</v>
      </c>
      <c r="I407" s="44" t="s">
        <v>74</v>
      </c>
      <c r="J407" s="44" t="s">
        <v>74</v>
      </c>
      <c r="K407" s="44" t="s">
        <v>74</v>
      </c>
      <c r="L407" s="44" t="s">
        <v>74</v>
      </c>
      <c r="M407" s="44" t="s">
        <v>74</v>
      </c>
      <c r="N407" s="44" t="s">
        <v>74</v>
      </c>
      <c r="O407" s="44" t="s">
        <v>74</v>
      </c>
      <c r="P407" s="44" t="s">
        <v>74</v>
      </c>
      <c r="Q407" s="44" t="s">
        <v>74</v>
      </c>
      <c r="R407" s="44" t="s">
        <v>74</v>
      </c>
      <c r="S407" s="44" t="s">
        <v>74</v>
      </c>
      <c r="T407" s="44" t="s">
        <v>74</v>
      </c>
      <c r="U407" s="44" t="s">
        <v>74</v>
      </c>
      <c r="V407" s="44" t="s">
        <v>74</v>
      </c>
      <c r="W407" s="44" t="s">
        <v>74</v>
      </c>
      <c r="X407" s="44" t="s">
        <v>74</v>
      </c>
      <c r="Y407" s="44" t="s">
        <v>74</v>
      </c>
      <c r="Z407" s="44" t="s">
        <v>74</v>
      </c>
      <c r="AA407" s="44" t="s">
        <v>74</v>
      </c>
      <c r="AB407" s="44" t="s">
        <v>74</v>
      </c>
      <c r="AC407" s="44" t="s">
        <v>74</v>
      </c>
      <c r="AD407" s="44" t="s">
        <v>74</v>
      </c>
      <c r="AE407" s="44" t="s">
        <v>74</v>
      </c>
      <c r="AF407" s="44" t="s">
        <v>74</v>
      </c>
      <c r="AG407" s="44" t="s">
        <v>74</v>
      </c>
      <c r="AH407" s="44" t="s">
        <v>74</v>
      </c>
      <c r="AI407" s="44" t="s">
        <v>74</v>
      </c>
      <c r="AJ407" s="44" t="s">
        <v>74</v>
      </c>
      <c r="AK407" s="44" t="s">
        <v>74</v>
      </c>
      <c r="AL407" s="44" t="s">
        <v>74</v>
      </c>
      <c r="AM407" s="44" t="s">
        <v>74</v>
      </c>
      <c r="AN407" s="44" t="s">
        <v>74</v>
      </c>
      <c r="AO407" s="44" t="s">
        <v>74</v>
      </c>
      <c r="AP407" s="44" t="s">
        <v>74</v>
      </c>
      <c r="AQ407" s="44" t="s">
        <v>74</v>
      </c>
      <c r="AR407" s="44" t="s">
        <v>74</v>
      </c>
      <c r="AS407" s="44" t="s">
        <v>74</v>
      </c>
      <c r="AT407" s="44" t="s">
        <v>74</v>
      </c>
      <c r="AU407" s="44" t="s">
        <v>74</v>
      </c>
      <c r="AV407" s="44" t="s">
        <v>74</v>
      </c>
      <c r="AW407" s="44" t="s">
        <v>74</v>
      </c>
      <c r="AX407" s="62" t="s">
        <v>74</v>
      </c>
      <c r="AY407" s="62" t="s">
        <v>74</v>
      </c>
      <c r="AZ407" s="62" t="s">
        <v>74</v>
      </c>
      <c r="BA407" s="62" t="s">
        <v>74</v>
      </c>
      <c r="BB407" s="62" t="s">
        <v>74</v>
      </c>
      <c r="BC407" s="62" t="s">
        <v>74</v>
      </c>
      <c r="BD407" s="62" t="s">
        <v>74</v>
      </c>
      <c r="BE407" s="44" t="s">
        <v>74</v>
      </c>
      <c r="BF407" s="44" t="s">
        <v>74</v>
      </c>
      <c r="BG407" s="62" t="s">
        <v>74</v>
      </c>
      <c r="BH407" s="62" t="s">
        <v>74</v>
      </c>
      <c r="BI407" s="44" t="s">
        <v>74</v>
      </c>
      <c r="BJ407" s="44" t="s">
        <v>74</v>
      </c>
      <c r="BK407" s="44" t="s">
        <v>74</v>
      </c>
      <c r="BL407" s="45" t="s">
        <v>74</v>
      </c>
      <c r="BM407" s="45" t="s">
        <v>74</v>
      </c>
      <c r="BN407" s="44" t="s">
        <v>74</v>
      </c>
      <c r="BO407" s="62" t="s">
        <v>74</v>
      </c>
      <c r="BP407" s="62" t="s">
        <v>74</v>
      </c>
      <c r="BQ407" s="62" t="s">
        <v>74</v>
      </c>
      <c r="BR407" s="62" t="s">
        <v>74</v>
      </c>
      <c r="BS407" s="53" t="s">
        <v>74</v>
      </c>
      <c r="BT407" s="44" t="s">
        <v>74</v>
      </c>
      <c r="BU407" s="44" t="s">
        <v>74</v>
      </c>
      <c r="BV407" s="44" t="s">
        <v>74</v>
      </c>
      <c r="BW407" s="44" t="s">
        <v>74</v>
      </c>
      <c r="BX407" s="44" t="s">
        <v>74</v>
      </c>
      <c r="BY407" s="44" t="s">
        <v>74</v>
      </c>
    </row>
    <row r="408" spans="1:77">
      <c r="A408">
        <v>0</v>
      </c>
      <c r="B408" s="60" t="s">
        <v>74</v>
      </c>
      <c r="C408" s="60" t="s">
        <v>74</v>
      </c>
      <c r="D408" s="61" t="s">
        <v>74</v>
      </c>
      <c r="E408" s="52" t="s">
        <v>74</v>
      </c>
      <c r="F408" s="52" t="s">
        <v>74</v>
      </c>
      <c r="G408" s="52" t="s">
        <v>74</v>
      </c>
      <c r="H408" s="44" t="s">
        <v>74</v>
      </c>
      <c r="I408" s="44" t="s">
        <v>74</v>
      </c>
      <c r="J408" s="44" t="s">
        <v>74</v>
      </c>
      <c r="K408" s="44" t="s">
        <v>74</v>
      </c>
      <c r="L408" s="44" t="s">
        <v>74</v>
      </c>
      <c r="M408" s="44" t="s">
        <v>74</v>
      </c>
      <c r="N408" s="44" t="s">
        <v>74</v>
      </c>
      <c r="O408" s="44" t="s">
        <v>74</v>
      </c>
      <c r="P408" s="44" t="s">
        <v>74</v>
      </c>
      <c r="Q408" s="44" t="s">
        <v>74</v>
      </c>
      <c r="R408" s="44" t="s">
        <v>74</v>
      </c>
      <c r="S408" s="44" t="s">
        <v>74</v>
      </c>
      <c r="T408" s="44" t="s">
        <v>74</v>
      </c>
      <c r="U408" s="44" t="s">
        <v>74</v>
      </c>
      <c r="V408" s="44" t="s">
        <v>74</v>
      </c>
      <c r="W408" s="44" t="s">
        <v>74</v>
      </c>
      <c r="X408" s="44" t="s">
        <v>74</v>
      </c>
      <c r="Y408" s="44" t="s">
        <v>74</v>
      </c>
      <c r="Z408" s="44" t="s">
        <v>74</v>
      </c>
      <c r="AA408" s="44" t="s">
        <v>74</v>
      </c>
      <c r="AB408" s="44" t="s">
        <v>74</v>
      </c>
      <c r="AC408" s="44" t="s">
        <v>74</v>
      </c>
      <c r="AD408" s="44" t="s">
        <v>74</v>
      </c>
      <c r="AE408" s="44" t="s">
        <v>74</v>
      </c>
      <c r="AF408" s="44" t="s">
        <v>74</v>
      </c>
      <c r="AG408" s="44" t="s">
        <v>74</v>
      </c>
      <c r="AH408" s="44" t="s">
        <v>74</v>
      </c>
      <c r="AI408" s="44" t="s">
        <v>74</v>
      </c>
      <c r="AJ408" s="44" t="s">
        <v>74</v>
      </c>
      <c r="AK408" s="44" t="s">
        <v>74</v>
      </c>
      <c r="AL408" s="44" t="s">
        <v>74</v>
      </c>
      <c r="AM408" s="44" t="s">
        <v>74</v>
      </c>
      <c r="AN408" s="44" t="s">
        <v>74</v>
      </c>
      <c r="AO408" s="44" t="s">
        <v>74</v>
      </c>
      <c r="AP408" s="44" t="s">
        <v>74</v>
      </c>
      <c r="AQ408" s="44" t="s">
        <v>74</v>
      </c>
      <c r="AR408" s="44" t="s">
        <v>74</v>
      </c>
      <c r="AS408" s="44" t="s">
        <v>74</v>
      </c>
      <c r="AT408" s="44" t="s">
        <v>74</v>
      </c>
      <c r="AU408" s="44" t="s">
        <v>74</v>
      </c>
      <c r="AV408" s="44" t="s">
        <v>74</v>
      </c>
      <c r="AW408" s="44" t="s">
        <v>74</v>
      </c>
      <c r="AX408" s="62" t="s">
        <v>74</v>
      </c>
      <c r="AY408" s="62" t="s">
        <v>74</v>
      </c>
      <c r="AZ408" s="62" t="s">
        <v>74</v>
      </c>
      <c r="BA408" s="62" t="s">
        <v>74</v>
      </c>
      <c r="BB408" s="62" t="s">
        <v>74</v>
      </c>
      <c r="BC408" s="62" t="s">
        <v>74</v>
      </c>
      <c r="BD408" s="62" t="s">
        <v>74</v>
      </c>
      <c r="BE408" s="44" t="s">
        <v>74</v>
      </c>
      <c r="BF408" s="44" t="s">
        <v>74</v>
      </c>
      <c r="BG408" s="62" t="s">
        <v>74</v>
      </c>
      <c r="BH408" s="62" t="s">
        <v>74</v>
      </c>
      <c r="BI408" s="44" t="s">
        <v>74</v>
      </c>
      <c r="BJ408" s="44" t="s">
        <v>74</v>
      </c>
      <c r="BK408" s="44" t="s">
        <v>74</v>
      </c>
      <c r="BL408" s="45" t="s">
        <v>74</v>
      </c>
      <c r="BM408" s="45" t="s">
        <v>74</v>
      </c>
      <c r="BN408" s="44" t="s">
        <v>74</v>
      </c>
      <c r="BO408" s="62" t="s">
        <v>74</v>
      </c>
      <c r="BP408" s="62" t="s">
        <v>74</v>
      </c>
      <c r="BQ408" s="62" t="s">
        <v>74</v>
      </c>
      <c r="BR408" s="62" t="s">
        <v>74</v>
      </c>
      <c r="BS408" s="53" t="s">
        <v>74</v>
      </c>
      <c r="BT408" s="44" t="s">
        <v>74</v>
      </c>
      <c r="BU408" s="44" t="s">
        <v>74</v>
      </c>
      <c r="BV408" s="44" t="s">
        <v>74</v>
      </c>
      <c r="BW408" s="44" t="s">
        <v>74</v>
      </c>
      <c r="BX408" s="44" t="s">
        <v>74</v>
      </c>
      <c r="BY408" s="44" t="s">
        <v>74</v>
      </c>
    </row>
    <row r="409" spans="1:77">
      <c r="A409">
        <v>0</v>
      </c>
      <c r="B409" s="60" t="s">
        <v>74</v>
      </c>
      <c r="C409" s="60" t="s">
        <v>74</v>
      </c>
      <c r="D409" s="61" t="s">
        <v>74</v>
      </c>
      <c r="E409" s="52" t="s">
        <v>74</v>
      </c>
      <c r="F409" s="52" t="s">
        <v>74</v>
      </c>
      <c r="G409" s="52" t="s">
        <v>74</v>
      </c>
      <c r="H409" s="44" t="s">
        <v>74</v>
      </c>
      <c r="I409" s="44" t="s">
        <v>74</v>
      </c>
      <c r="J409" s="44" t="s">
        <v>74</v>
      </c>
      <c r="K409" s="44" t="s">
        <v>74</v>
      </c>
      <c r="L409" s="44" t="s">
        <v>74</v>
      </c>
      <c r="M409" s="44" t="s">
        <v>74</v>
      </c>
      <c r="N409" s="44" t="s">
        <v>74</v>
      </c>
      <c r="O409" s="44" t="s">
        <v>74</v>
      </c>
      <c r="P409" s="44" t="s">
        <v>74</v>
      </c>
      <c r="Q409" s="44" t="s">
        <v>74</v>
      </c>
      <c r="R409" s="44" t="s">
        <v>74</v>
      </c>
      <c r="S409" s="44" t="s">
        <v>74</v>
      </c>
      <c r="T409" s="44" t="s">
        <v>74</v>
      </c>
      <c r="U409" s="44" t="s">
        <v>74</v>
      </c>
      <c r="V409" s="44" t="s">
        <v>74</v>
      </c>
      <c r="W409" s="44" t="s">
        <v>74</v>
      </c>
      <c r="X409" s="44" t="s">
        <v>74</v>
      </c>
      <c r="Y409" s="44" t="s">
        <v>74</v>
      </c>
      <c r="Z409" s="44" t="s">
        <v>74</v>
      </c>
      <c r="AA409" s="44" t="s">
        <v>74</v>
      </c>
      <c r="AB409" s="44" t="s">
        <v>74</v>
      </c>
      <c r="AC409" s="44" t="s">
        <v>74</v>
      </c>
      <c r="AD409" s="44" t="s">
        <v>74</v>
      </c>
      <c r="AE409" s="44" t="s">
        <v>74</v>
      </c>
      <c r="AF409" s="44" t="s">
        <v>74</v>
      </c>
      <c r="AG409" s="44" t="s">
        <v>74</v>
      </c>
      <c r="AH409" s="44" t="s">
        <v>74</v>
      </c>
      <c r="AI409" s="44" t="s">
        <v>74</v>
      </c>
      <c r="AJ409" s="44" t="s">
        <v>74</v>
      </c>
      <c r="AK409" s="44" t="s">
        <v>74</v>
      </c>
      <c r="AL409" s="44" t="s">
        <v>74</v>
      </c>
      <c r="AM409" s="44" t="s">
        <v>74</v>
      </c>
      <c r="AN409" s="44" t="s">
        <v>74</v>
      </c>
      <c r="AO409" s="44" t="s">
        <v>74</v>
      </c>
      <c r="AP409" s="44" t="s">
        <v>74</v>
      </c>
      <c r="AQ409" s="44" t="s">
        <v>74</v>
      </c>
      <c r="AR409" s="44" t="s">
        <v>74</v>
      </c>
      <c r="AS409" s="44" t="s">
        <v>74</v>
      </c>
      <c r="AT409" s="44" t="s">
        <v>74</v>
      </c>
      <c r="AU409" s="44" t="s">
        <v>74</v>
      </c>
      <c r="AV409" s="44" t="s">
        <v>74</v>
      </c>
      <c r="AW409" s="44" t="s">
        <v>74</v>
      </c>
      <c r="AX409" s="62" t="s">
        <v>74</v>
      </c>
      <c r="AY409" s="62" t="s">
        <v>74</v>
      </c>
      <c r="AZ409" s="62" t="s">
        <v>74</v>
      </c>
      <c r="BA409" s="62" t="s">
        <v>74</v>
      </c>
      <c r="BB409" s="62" t="s">
        <v>74</v>
      </c>
      <c r="BC409" s="62" t="s">
        <v>74</v>
      </c>
      <c r="BD409" s="62" t="s">
        <v>74</v>
      </c>
      <c r="BE409" s="44" t="s">
        <v>74</v>
      </c>
      <c r="BF409" s="44" t="s">
        <v>74</v>
      </c>
      <c r="BG409" s="62" t="s">
        <v>74</v>
      </c>
      <c r="BH409" s="62" t="s">
        <v>74</v>
      </c>
      <c r="BI409" s="44" t="s">
        <v>74</v>
      </c>
      <c r="BJ409" s="44" t="s">
        <v>74</v>
      </c>
      <c r="BK409" s="44" t="s">
        <v>74</v>
      </c>
      <c r="BL409" s="45" t="s">
        <v>74</v>
      </c>
      <c r="BM409" s="45" t="s">
        <v>74</v>
      </c>
      <c r="BN409" s="44" t="s">
        <v>74</v>
      </c>
      <c r="BO409" s="62" t="s">
        <v>74</v>
      </c>
      <c r="BP409" s="62" t="s">
        <v>74</v>
      </c>
      <c r="BQ409" s="62" t="s">
        <v>74</v>
      </c>
      <c r="BR409" s="62" t="s">
        <v>74</v>
      </c>
      <c r="BS409" s="53" t="s">
        <v>74</v>
      </c>
      <c r="BT409" s="44" t="s">
        <v>74</v>
      </c>
      <c r="BU409" s="44" t="s">
        <v>74</v>
      </c>
      <c r="BV409" s="44" t="s">
        <v>74</v>
      </c>
      <c r="BW409" s="44" t="s">
        <v>74</v>
      </c>
      <c r="BX409" s="44" t="s">
        <v>74</v>
      </c>
      <c r="BY409" s="44" t="s">
        <v>74</v>
      </c>
    </row>
    <row r="410" spans="1:77">
      <c r="A410">
        <v>0</v>
      </c>
      <c r="B410" s="60" t="s">
        <v>74</v>
      </c>
      <c r="C410" s="60" t="s">
        <v>74</v>
      </c>
      <c r="D410" s="61" t="s">
        <v>74</v>
      </c>
      <c r="E410" s="52" t="s">
        <v>74</v>
      </c>
      <c r="F410" s="52" t="s">
        <v>74</v>
      </c>
      <c r="G410" s="52" t="s">
        <v>74</v>
      </c>
      <c r="H410" s="44" t="s">
        <v>74</v>
      </c>
      <c r="I410" s="44" t="s">
        <v>74</v>
      </c>
      <c r="J410" s="44" t="s">
        <v>74</v>
      </c>
      <c r="K410" s="44" t="s">
        <v>74</v>
      </c>
      <c r="L410" s="44" t="s">
        <v>74</v>
      </c>
      <c r="M410" s="44" t="s">
        <v>74</v>
      </c>
      <c r="N410" s="44" t="s">
        <v>74</v>
      </c>
      <c r="O410" s="44" t="s">
        <v>74</v>
      </c>
      <c r="P410" s="44" t="s">
        <v>74</v>
      </c>
      <c r="Q410" s="44" t="s">
        <v>74</v>
      </c>
      <c r="R410" s="44" t="s">
        <v>74</v>
      </c>
      <c r="S410" s="44" t="s">
        <v>74</v>
      </c>
      <c r="T410" s="44" t="s">
        <v>74</v>
      </c>
      <c r="U410" s="44" t="s">
        <v>74</v>
      </c>
      <c r="V410" s="44" t="s">
        <v>74</v>
      </c>
      <c r="W410" s="44" t="s">
        <v>74</v>
      </c>
      <c r="X410" s="44" t="s">
        <v>74</v>
      </c>
      <c r="Y410" s="44" t="s">
        <v>74</v>
      </c>
      <c r="Z410" s="44" t="s">
        <v>74</v>
      </c>
      <c r="AA410" s="44" t="s">
        <v>74</v>
      </c>
      <c r="AB410" s="44" t="s">
        <v>74</v>
      </c>
      <c r="AC410" s="44" t="s">
        <v>74</v>
      </c>
      <c r="AD410" s="44" t="s">
        <v>74</v>
      </c>
      <c r="AE410" s="44" t="s">
        <v>74</v>
      </c>
      <c r="AF410" s="44" t="s">
        <v>74</v>
      </c>
      <c r="AG410" s="44" t="s">
        <v>74</v>
      </c>
      <c r="AH410" s="44" t="s">
        <v>74</v>
      </c>
      <c r="AI410" s="44" t="s">
        <v>74</v>
      </c>
      <c r="AJ410" s="44" t="s">
        <v>74</v>
      </c>
      <c r="AK410" s="44" t="s">
        <v>74</v>
      </c>
      <c r="AL410" s="44" t="s">
        <v>74</v>
      </c>
      <c r="AM410" s="44" t="s">
        <v>74</v>
      </c>
      <c r="AN410" s="44" t="s">
        <v>74</v>
      </c>
      <c r="AO410" s="44" t="s">
        <v>74</v>
      </c>
      <c r="AP410" s="44" t="s">
        <v>74</v>
      </c>
      <c r="AQ410" s="44" t="s">
        <v>74</v>
      </c>
      <c r="AR410" s="44" t="s">
        <v>74</v>
      </c>
      <c r="AS410" s="44" t="s">
        <v>74</v>
      </c>
      <c r="AT410" s="44" t="s">
        <v>74</v>
      </c>
      <c r="AU410" s="44" t="s">
        <v>74</v>
      </c>
      <c r="AV410" s="44" t="s">
        <v>74</v>
      </c>
      <c r="AW410" s="44" t="s">
        <v>74</v>
      </c>
      <c r="AX410" s="62" t="s">
        <v>74</v>
      </c>
      <c r="AY410" s="62" t="s">
        <v>74</v>
      </c>
      <c r="AZ410" s="62" t="s">
        <v>74</v>
      </c>
      <c r="BA410" s="62" t="s">
        <v>74</v>
      </c>
      <c r="BB410" s="62" t="s">
        <v>74</v>
      </c>
      <c r="BC410" s="62" t="s">
        <v>74</v>
      </c>
      <c r="BD410" s="62" t="s">
        <v>74</v>
      </c>
      <c r="BE410" s="44" t="s">
        <v>74</v>
      </c>
      <c r="BF410" s="44" t="s">
        <v>74</v>
      </c>
      <c r="BG410" s="62" t="s">
        <v>74</v>
      </c>
      <c r="BH410" s="62" t="s">
        <v>74</v>
      </c>
      <c r="BI410" s="44" t="s">
        <v>74</v>
      </c>
      <c r="BJ410" s="44" t="s">
        <v>74</v>
      </c>
      <c r="BK410" s="44" t="s">
        <v>74</v>
      </c>
      <c r="BL410" s="45" t="s">
        <v>74</v>
      </c>
      <c r="BM410" s="45" t="s">
        <v>74</v>
      </c>
      <c r="BN410" s="44" t="s">
        <v>74</v>
      </c>
      <c r="BO410" s="62" t="s">
        <v>74</v>
      </c>
      <c r="BP410" s="62" t="s">
        <v>74</v>
      </c>
      <c r="BQ410" s="62" t="s">
        <v>74</v>
      </c>
      <c r="BR410" s="62" t="s">
        <v>74</v>
      </c>
      <c r="BS410" s="53" t="s">
        <v>74</v>
      </c>
      <c r="BT410" s="44" t="s">
        <v>74</v>
      </c>
      <c r="BU410" s="44" t="s">
        <v>74</v>
      </c>
      <c r="BV410" s="44" t="s">
        <v>74</v>
      </c>
      <c r="BW410" s="44" t="s">
        <v>74</v>
      </c>
      <c r="BX410" s="44" t="s">
        <v>74</v>
      </c>
      <c r="BY410" s="44" t="s">
        <v>74</v>
      </c>
    </row>
    <row r="411" spans="1:77">
      <c r="A411">
        <v>0</v>
      </c>
      <c r="B411" s="60" t="s">
        <v>74</v>
      </c>
      <c r="C411" s="60" t="s">
        <v>74</v>
      </c>
      <c r="D411" s="61" t="s">
        <v>74</v>
      </c>
      <c r="E411" s="52" t="s">
        <v>74</v>
      </c>
      <c r="F411" s="52" t="s">
        <v>74</v>
      </c>
      <c r="G411" s="52" t="s">
        <v>74</v>
      </c>
      <c r="H411" s="44" t="s">
        <v>74</v>
      </c>
      <c r="I411" s="44" t="s">
        <v>74</v>
      </c>
      <c r="J411" s="44" t="s">
        <v>74</v>
      </c>
      <c r="K411" s="44" t="s">
        <v>74</v>
      </c>
      <c r="L411" s="44" t="s">
        <v>74</v>
      </c>
      <c r="M411" s="44" t="s">
        <v>74</v>
      </c>
      <c r="N411" s="44" t="s">
        <v>74</v>
      </c>
      <c r="O411" s="44" t="s">
        <v>74</v>
      </c>
      <c r="P411" s="44" t="s">
        <v>74</v>
      </c>
      <c r="Q411" s="44" t="s">
        <v>74</v>
      </c>
      <c r="R411" s="44" t="s">
        <v>74</v>
      </c>
      <c r="S411" s="44" t="s">
        <v>74</v>
      </c>
      <c r="T411" s="44" t="s">
        <v>74</v>
      </c>
      <c r="U411" s="44" t="s">
        <v>74</v>
      </c>
      <c r="V411" s="44" t="s">
        <v>74</v>
      </c>
      <c r="W411" s="44" t="s">
        <v>74</v>
      </c>
      <c r="X411" s="44" t="s">
        <v>74</v>
      </c>
      <c r="Y411" s="44" t="s">
        <v>74</v>
      </c>
      <c r="Z411" s="44" t="s">
        <v>74</v>
      </c>
      <c r="AA411" s="44" t="s">
        <v>74</v>
      </c>
      <c r="AB411" s="44" t="s">
        <v>74</v>
      </c>
      <c r="AC411" s="44" t="s">
        <v>74</v>
      </c>
      <c r="AD411" s="44" t="s">
        <v>74</v>
      </c>
      <c r="AE411" s="44" t="s">
        <v>74</v>
      </c>
      <c r="AF411" s="44" t="s">
        <v>74</v>
      </c>
      <c r="AG411" s="44" t="s">
        <v>74</v>
      </c>
      <c r="AH411" s="44" t="s">
        <v>74</v>
      </c>
      <c r="AI411" s="44" t="s">
        <v>74</v>
      </c>
      <c r="AJ411" s="44" t="s">
        <v>74</v>
      </c>
      <c r="AK411" s="44" t="s">
        <v>74</v>
      </c>
      <c r="AL411" s="44" t="s">
        <v>74</v>
      </c>
      <c r="AM411" s="44" t="s">
        <v>74</v>
      </c>
      <c r="AN411" s="44" t="s">
        <v>74</v>
      </c>
      <c r="AO411" s="44" t="s">
        <v>74</v>
      </c>
      <c r="AP411" s="44" t="s">
        <v>74</v>
      </c>
      <c r="AQ411" s="44" t="s">
        <v>74</v>
      </c>
      <c r="AR411" s="44" t="s">
        <v>74</v>
      </c>
      <c r="AS411" s="44" t="s">
        <v>74</v>
      </c>
      <c r="AT411" s="44" t="s">
        <v>74</v>
      </c>
      <c r="AU411" s="44" t="s">
        <v>74</v>
      </c>
      <c r="AV411" s="44" t="s">
        <v>74</v>
      </c>
      <c r="AW411" s="44" t="s">
        <v>74</v>
      </c>
      <c r="AX411" s="62" t="s">
        <v>74</v>
      </c>
      <c r="AY411" s="62" t="s">
        <v>74</v>
      </c>
      <c r="AZ411" s="62" t="s">
        <v>74</v>
      </c>
      <c r="BA411" s="62" t="s">
        <v>74</v>
      </c>
      <c r="BB411" s="62" t="s">
        <v>74</v>
      </c>
      <c r="BC411" s="62" t="s">
        <v>74</v>
      </c>
      <c r="BD411" s="62" t="s">
        <v>74</v>
      </c>
      <c r="BE411" s="44" t="s">
        <v>74</v>
      </c>
      <c r="BF411" s="44" t="s">
        <v>74</v>
      </c>
      <c r="BG411" s="62" t="s">
        <v>74</v>
      </c>
      <c r="BH411" s="62" t="s">
        <v>74</v>
      </c>
      <c r="BI411" s="44" t="s">
        <v>74</v>
      </c>
      <c r="BJ411" s="44" t="s">
        <v>74</v>
      </c>
      <c r="BK411" s="44" t="s">
        <v>74</v>
      </c>
      <c r="BL411" s="45" t="s">
        <v>74</v>
      </c>
      <c r="BM411" s="45" t="s">
        <v>74</v>
      </c>
      <c r="BN411" s="44" t="s">
        <v>74</v>
      </c>
      <c r="BO411" s="62" t="s">
        <v>74</v>
      </c>
      <c r="BP411" s="62" t="s">
        <v>74</v>
      </c>
      <c r="BQ411" s="62" t="s">
        <v>74</v>
      </c>
      <c r="BR411" s="62" t="s">
        <v>74</v>
      </c>
      <c r="BS411" s="53" t="s">
        <v>74</v>
      </c>
      <c r="BT411" s="44" t="s">
        <v>74</v>
      </c>
      <c r="BU411" s="44" t="s">
        <v>74</v>
      </c>
      <c r="BV411" s="44" t="s">
        <v>74</v>
      </c>
      <c r="BW411" s="44" t="s">
        <v>74</v>
      </c>
      <c r="BX411" s="44" t="s">
        <v>74</v>
      </c>
      <c r="BY411" s="44" t="s">
        <v>74</v>
      </c>
    </row>
    <row r="412" spans="1:77">
      <c r="A412">
        <v>0</v>
      </c>
      <c r="B412" s="60" t="s">
        <v>74</v>
      </c>
      <c r="C412" s="60" t="s">
        <v>74</v>
      </c>
      <c r="D412" s="61" t="s">
        <v>74</v>
      </c>
      <c r="E412" s="52" t="s">
        <v>74</v>
      </c>
      <c r="F412" s="52" t="s">
        <v>74</v>
      </c>
      <c r="G412" s="52" t="s">
        <v>74</v>
      </c>
      <c r="H412" s="44" t="s">
        <v>74</v>
      </c>
      <c r="I412" s="44" t="s">
        <v>74</v>
      </c>
      <c r="J412" s="44" t="s">
        <v>74</v>
      </c>
      <c r="K412" s="44" t="s">
        <v>74</v>
      </c>
      <c r="L412" s="44" t="s">
        <v>74</v>
      </c>
      <c r="M412" s="44" t="s">
        <v>74</v>
      </c>
      <c r="N412" s="44" t="s">
        <v>74</v>
      </c>
      <c r="O412" s="44" t="s">
        <v>74</v>
      </c>
      <c r="P412" s="44" t="s">
        <v>74</v>
      </c>
      <c r="Q412" s="44" t="s">
        <v>74</v>
      </c>
      <c r="R412" s="44" t="s">
        <v>74</v>
      </c>
      <c r="S412" s="44" t="s">
        <v>74</v>
      </c>
      <c r="T412" s="44" t="s">
        <v>74</v>
      </c>
      <c r="U412" s="44" t="s">
        <v>74</v>
      </c>
      <c r="V412" s="44" t="s">
        <v>74</v>
      </c>
      <c r="W412" s="44" t="s">
        <v>74</v>
      </c>
      <c r="X412" s="44" t="s">
        <v>74</v>
      </c>
      <c r="Y412" s="44" t="s">
        <v>74</v>
      </c>
      <c r="Z412" s="44" t="s">
        <v>74</v>
      </c>
      <c r="AA412" s="44" t="s">
        <v>74</v>
      </c>
      <c r="AB412" s="44" t="s">
        <v>74</v>
      </c>
      <c r="AC412" s="44" t="s">
        <v>74</v>
      </c>
      <c r="AD412" s="44" t="s">
        <v>74</v>
      </c>
      <c r="AE412" s="44" t="s">
        <v>74</v>
      </c>
      <c r="AF412" s="44" t="s">
        <v>74</v>
      </c>
      <c r="AG412" s="44" t="s">
        <v>74</v>
      </c>
      <c r="AH412" s="44" t="s">
        <v>74</v>
      </c>
      <c r="AI412" s="44" t="s">
        <v>74</v>
      </c>
      <c r="AJ412" s="44" t="s">
        <v>74</v>
      </c>
      <c r="AK412" s="44" t="s">
        <v>74</v>
      </c>
      <c r="AL412" s="44" t="s">
        <v>74</v>
      </c>
      <c r="AM412" s="44" t="s">
        <v>74</v>
      </c>
      <c r="AN412" s="44" t="s">
        <v>74</v>
      </c>
      <c r="AO412" s="44" t="s">
        <v>74</v>
      </c>
      <c r="AP412" s="44" t="s">
        <v>74</v>
      </c>
      <c r="AQ412" s="44" t="s">
        <v>74</v>
      </c>
      <c r="AR412" s="44" t="s">
        <v>74</v>
      </c>
      <c r="AS412" s="44" t="s">
        <v>74</v>
      </c>
      <c r="AT412" s="44" t="s">
        <v>74</v>
      </c>
      <c r="AU412" s="44" t="s">
        <v>74</v>
      </c>
      <c r="AV412" s="44" t="s">
        <v>74</v>
      </c>
      <c r="AW412" s="44" t="s">
        <v>74</v>
      </c>
      <c r="AX412" s="62" t="s">
        <v>74</v>
      </c>
      <c r="AY412" s="62" t="s">
        <v>74</v>
      </c>
      <c r="AZ412" s="62" t="s">
        <v>74</v>
      </c>
      <c r="BA412" s="62" t="s">
        <v>74</v>
      </c>
      <c r="BB412" s="62" t="s">
        <v>74</v>
      </c>
      <c r="BC412" s="62" t="s">
        <v>74</v>
      </c>
      <c r="BD412" s="62" t="s">
        <v>74</v>
      </c>
      <c r="BE412" s="44" t="s">
        <v>74</v>
      </c>
      <c r="BF412" s="44" t="s">
        <v>74</v>
      </c>
      <c r="BG412" s="62" t="s">
        <v>74</v>
      </c>
      <c r="BH412" s="62" t="s">
        <v>74</v>
      </c>
      <c r="BI412" s="44" t="s">
        <v>74</v>
      </c>
      <c r="BJ412" s="44" t="s">
        <v>74</v>
      </c>
      <c r="BK412" s="44" t="s">
        <v>74</v>
      </c>
      <c r="BL412" s="45" t="s">
        <v>74</v>
      </c>
      <c r="BM412" s="45" t="s">
        <v>74</v>
      </c>
      <c r="BN412" s="44" t="s">
        <v>74</v>
      </c>
      <c r="BO412" s="62" t="s">
        <v>74</v>
      </c>
      <c r="BP412" s="62" t="s">
        <v>74</v>
      </c>
      <c r="BQ412" s="62" t="s">
        <v>74</v>
      </c>
      <c r="BR412" s="62" t="s">
        <v>74</v>
      </c>
      <c r="BS412" s="53" t="s">
        <v>74</v>
      </c>
      <c r="BT412" s="44" t="s">
        <v>74</v>
      </c>
      <c r="BU412" s="44" t="s">
        <v>74</v>
      </c>
      <c r="BV412" s="44" t="s">
        <v>74</v>
      </c>
      <c r="BW412" s="44" t="s">
        <v>74</v>
      </c>
      <c r="BX412" s="44" t="s">
        <v>74</v>
      </c>
      <c r="BY412" s="44" t="s">
        <v>74</v>
      </c>
    </row>
    <row r="413" spans="1:77">
      <c r="A413">
        <v>0</v>
      </c>
      <c r="B413" s="60" t="s">
        <v>74</v>
      </c>
      <c r="C413" s="60" t="s">
        <v>74</v>
      </c>
      <c r="D413" s="61" t="s">
        <v>74</v>
      </c>
      <c r="E413" s="52" t="s">
        <v>74</v>
      </c>
      <c r="F413" s="52" t="s">
        <v>74</v>
      </c>
      <c r="G413" s="52" t="s">
        <v>74</v>
      </c>
      <c r="H413" s="44" t="s">
        <v>74</v>
      </c>
      <c r="I413" s="44" t="s">
        <v>74</v>
      </c>
      <c r="J413" s="44" t="s">
        <v>74</v>
      </c>
      <c r="K413" s="44" t="s">
        <v>74</v>
      </c>
      <c r="L413" s="44" t="s">
        <v>74</v>
      </c>
      <c r="M413" s="44" t="s">
        <v>74</v>
      </c>
      <c r="N413" s="44" t="s">
        <v>74</v>
      </c>
      <c r="O413" s="44" t="s">
        <v>74</v>
      </c>
      <c r="P413" s="44" t="s">
        <v>74</v>
      </c>
      <c r="Q413" s="44" t="s">
        <v>74</v>
      </c>
      <c r="R413" s="44" t="s">
        <v>74</v>
      </c>
      <c r="S413" s="44" t="s">
        <v>74</v>
      </c>
      <c r="T413" s="44" t="s">
        <v>74</v>
      </c>
      <c r="U413" s="44" t="s">
        <v>74</v>
      </c>
      <c r="V413" s="44" t="s">
        <v>74</v>
      </c>
      <c r="W413" s="44" t="s">
        <v>74</v>
      </c>
      <c r="X413" s="44" t="s">
        <v>74</v>
      </c>
      <c r="Y413" s="44" t="s">
        <v>74</v>
      </c>
      <c r="Z413" s="44" t="s">
        <v>74</v>
      </c>
      <c r="AA413" s="44" t="s">
        <v>74</v>
      </c>
      <c r="AB413" s="44" t="s">
        <v>74</v>
      </c>
      <c r="AC413" s="44" t="s">
        <v>74</v>
      </c>
      <c r="AD413" s="44" t="s">
        <v>74</v>
      </c>
      <c r="AE413" s="44" t="s">
        <v>74</v>
      </c>
      <c r="AF413" s="44" t="s">
        <v>74</v>
      </c>
      <c r="AG413" s="44" t="s">
        <v>74</v>
      </c>
      <c r="AH413" s="44" t="s">
        <v>74</v>
      </c>
      <c r="AI413" s="44" t="s">
        <v>74</v>
      </c>
      <c r="AJ413" s="44" t="s">
        <v>74</v>
      </c>
      <c r="AK413" s="44" t="s">
        <v>74</v>
      </c>
      <c r="AL413" s="44" t="s">
        <v>74</v>
      </c>
      <c r="AM413" s="44" t="s">
        <v>74</v>
      </c>
      <c r="AN413" s="44" t="s">
        <v>74</v>
      </c>
      <c r="AO413" s="44" t="s">
        <v>74</v>
      </c>
      <c r="AP413" s="44" t="s">
        <v>74</v>
      </c>
      <c r="AQ413" s="44" t="s">
        <v>74</v>
      </c>
      <c r="AR413" s="44" t="s">
        <v>74</v>
      </c>
      <c r="AS413" s="44" t="s">
        <v>74</v>
      </c>
      <c r="AT413" s="44" t="s">
        <v>74</v>
      </c>
      <c r="AU413" s="44" t="s">
        <v>74</v>
      </c>
      <c r="AV413" s="44" t="s">
        <v>74</v>
      </c>
      <c r="AW413" s="44" t="s">
        <v>74</v>
      </c>
      <c r="AX413" s="62" t="s">
        <v>74</v>
      </c>
      <c r="AY413" s="62" t="s">
        <v>74</v>
      </c>
      <c r="AZ413" s="62" t="s">
        <v>74</v>
      </c>
      <c r="BA413" s="62" t="s">
        <v>74</v>
      </c>
      <c r="BB413" s="62" t="s">
        <v>74</v>
      </c>
      <c r="BC413" s="62" t="s">
        <v>74</v>
      </c>
      <c r="BD413" s="62" t="s">
        <v>74</v>
      </c>
      <c r="BE413" s="44" t="s">
        <v>74</v>
      </c>
      <c r="BF413" s="44" t="s">
        <v>74</v>
      </c>
      <c r="BG413" s="62" t="s">
        <v>74</v>
      </c>
      <c r="BH413" s="62" t="s">
        <v>74</v>
      </c>
      <c r="BI413" s="44" t="s">
        <v>74</v>
      </c>
      <c r="BJ413" s="44" t="s">
        <v>74</v>
      </c>
      <c r="BK413" s="44" t="s">
        <v>74</v>
      </c>
      <c r="BL413" s="45" t="s">
        <v>74</v>
      </c>
      <c r="BM413" s="45" t="s">
        <v>74</v>
      </c>
      <c r="BN413" s="44" t="s">
        <v>74</v>
      </c>
      <c r="BO413" s="62" t="s">
        <v>74</v>
      </c>
      <c r="BP413" s="62" t="s">
        <v>74</v>
      </c>
      <c r="BQ413" s="62" t="s">
        <v>74</v>
      </c>
      <c r="BR413" s="62" t="s">
        <v>74</v>
      </c>
      <c r="BS413" s="53" t="s">
        <v>74</v>
      </c>
      <c r="BT413" s="44" t="s">
        <v>74</v>
      </c>
      <c r="BU413" s="44" t="s">
        <v>74</v>
      </c>
      <c r="BV413" s="44" t="s">
        <v>74</v>
      </c>
      <c r="BW413" s="44" t="s">
        <v>74</v>
      </c>
      <c r="BX413" s="44" t="s">
        <v>74</v>
      </c>
      <c r="BY413" s="44" t="s">
        <v>74</v>
      </c>
    </row>
    <row r="414" spans="1:77">
      <c r="A414">
        <v>0</v>
      </c>
      <c r="B414" s="60" t="s">
        <v>74</v>
      </c>
      <c r="C414" s="60" t="s">
        <v>74</v>
      </c>
      <c r="D414" s="61" t="s">
        <v>74</v>
      </c>
      <c r="E414" s="52" t="s">
        <v>74</v>
      </c>
      <c r="F414" s="52" t="s">
        <v>74</v>
      </c>
      <c r="G414" s="52" t="s">
        <v>74</v>
      </c>
      <c r="H414" s="44" t="s">
        <v>74</v>
      </c>
      <c r="I414" s="44" t="s">
        <v>74</v>
      </c>
      <c r="J414" s="44" t="s">
        <v>74</v>
      </c>
      <c r="K414" s="44" t="s">
        <v>74</v>
      </c>
      <c r="L414" s="44" t="s">
        <v>74</v>
      </c>
      <c r="M414" s="44" t="s">
        <v>74</v>
      </c>
      <c r="N414" s="44" t="s">
        <v>74</v>
      </c>
      <c r="O414" s="44" t="s">
        <v>74</v>
      </c>
      <c r="P414" s="44" t="s">
        <v>74</v>
      </c>
      <c r="Q414" s="44" t="s">
        <v>74</v>
      </c>
      <c r="R414" s="44" t="s">
        <v>74</v>
      </c>
      <c r="S414" s="44" t="s">
        <v>74</v>
      </c>
      <c r="T414" s="44" t="s">
        <v>74</v>
      </c>
      <c r="U414" s="44" t="s">
        <v>74</v>
      </c>
      <c r="V414" s="44" t="s">
        <v>74</v>
      </c>
      <c r="W414" s="44" t="s">
        <v>74</v>
      </c>
      <c r="X414" s="44" t="s">
        <v>74</v>
      </c>
      <c r="Y414" s="44" t="s">
        <v>74</v>
      </c>
      <c r="Z414" s="44" t="s">
        <v>74</v>
      </c>
      <c r="AA414" s="44" t="s">
        <v>74</v>
      </c>
      <c r="AB414" s="44" t="s">
        <v>74</v>
      </c>
      <c r="AC414" s="44" t="s">
        <v>74</v>
      </c>
      <c r="AD414" s="44" t="s">
        <v>74</v>
      </c>
      <c r="AE414" s="44" t="s">
        <v>74</v>
      </c>
      <c r="AF414" s="44" t="s">
        <v>74</v>
      </c>
      <c r="AG414" s="44" t="s">
        <v>74</v>
      </c>
      <c r="AH414" s="44" t="s">
        <v>74</v>
      </c>
      <c r="AI414" s="44" t="s">
        <v>74</v>
      </c>
      <c r="AJ414" s="44" t="s">
        <v>74</v>
      </c>
      <c r="AK414" s="44" t="s">
        <v>74</v>
      </c>
      <c r="AL414" s="44" t="s">
        <v>74</v>
      </c>
      <c r="AM414" s="44" t="s">
        <v>74</v>
      </c>
      <c r="AN414" s="44" t="s">
        <v>74</v>
      </c>
      <c r="AO414" s="44" t="s">
        <v>74</v>
      </c>
      <c r="AP414" s="44" t="s">
        <v>74</v>
      </c>
      <c r="AQ414" s="44" t="s">
        <v>74</v>
      </c>
      <c r="AR414" s="44" t="s">
        <v>74</v>
      </c>
      <c r="AS414" s="44" t="s">
        <v>74</v>
      </c>
      <c r="AT414" s="44" t="s">
        <v>74</v>
      </c>
      <c r="AU414" s="44" t="s">
        <v>74</v>
      </c>
      <c r="AV414" s="44" t="s">
        <v>74</v>
      </c>
      <c r="AW414" s="44" t="s">
        <v>74</v>
      </c>
      <c r="AX414" s="62" t="s">
        <v>74</v>
      </c>
      <c r="AY414" s="62" t="s">
        <v>74</v>
      </c>
      <c r="AZ414" s="62" t="s">
        <v>74</v>
      </c>
      <c r="BA414" s="62" t="s">
        <v>74</v>
      </c>
      <c r="BB414" s="62" t="s">
        <v>74</v>
      </c>
      <c r="BC414" s="62" t="s">
        <v>74</v>
      </c>
      <c r="BD414" s="62" t="s">
        <v>74</v>
      </c>
      <c r="BE414" s="44" t="s">
        <v>74</v>
      </c>
      <c r="BF414" s="44" t="s">
        <v>74</v>
      </c>
      <c r="BG414" s="62" t="s">
        <v>74</v>
      </c>
      <c r="BH414" s="62" t="s">
        <v>74</v>
      </c>
      <c r="BI414" s="44" t="s">
        <v>74</v>
      </c>
      <c r="BJ414" s="44" t="s">
        <v>74</v>
      </c>
      <c r="BK414" s="44" t="s">
        <v>74</v>
      </c>
      <c r="BL414" s="45" t="s">
        <v>74</v>
      </c>
      <c r="BM414" s="45" t="s">
        <v>74</v>
      </c>
      <c r="BN414" s="44" t="s">
        <v>74</v>
      </c>
      <c r="BO414" s="62" t="s">
        <v>74</v>
      </c>
      <c r="BP414" s="62" t="s">
        <v>74</v>
      </c>
      <c r="BQ414" s="62" t="s">
        <v>74</v>
      </c>
      <c r="BR414" s="62" t="s">
        <v>74</v>
      </c>
      <c r="BS414" s="53" t="s">
        <v>74</v>
      </c>
      <c r="BT414" s="44" t="s">
        <v>74</v>
      </c>
      <c r="BU414" s="44" t="s">
        <v>74</v>
      </c>
      <c r="BV414" s="44" t="s">
        <v>74</v>
      </c>
      <c r="BW414" s="44" t="s">
        <v>74</v>
      </c>
      <c r="BX414" s="44" t="s">
        <v>74</v>
      </c>
      <c r="BY414" s="44" t="s">
        <v>74</v>
      </c>
    </row>
    <row r="415" spans="1:77">
      <c r="A415">
        <v>0</v>
      </c>
      <c r="B415" s="60" t="s">
        <v>74</v>
      </c>
      <c r="C415" s="60" t="s">
        <v>74</v>
      </c>
      <c r="D415" s="61" t="s">
        <v>74</v>
      </c>
      <c r="E415" s="52" t="s">
        <v>74</v>
      </c>
      <c r="F415" s="52" t="s">
        <v>74</v>
      </c>
      <c r="G415" s="52" t="s">
        <v>74</v>
      </c>
      <c r="H415" s="44" t="s">
        <v>74</v>
      </c>
      <c r="I415" s="44" t="s">
        <v>74</v>
      </c>
      <c r="J415" s="44" t="s">
        <v>74</v>
      </c>
      <c r="K415" s="44" t="s">
        <v>74</v>
      </c>
      <c r="L415" s="44" t="s">
        <v>74</v>
      </c>
      <c r="M415" s="44" t="s">
        <v>74</v>
      </c>
      <c r="N415" s="44" t="s">
        <v>74</v>
      </c>
      <c r="O415" s="44" t="s">
        <v>74</v>
      </c>
      <c r="P415" s="44" t="s">
        <v>74</v>
      </c>
      <c r="Q415" s="44" t="s">
        <v>74</v>
      </c>
      <c r="R415" s="44" t="s">
        <v>74</v>
      </c>
      <c r="S415" s="44" t="s">
        <v>74</v>
      </c>
      <c r="T415" s="44" t="s">
        <v>74</v>
      </c>
      <c r="U415" s="44" t="s">
        <v>74</v>
      </c>
      <c r="V415" s="44" t="s">
        <v>74</v>
      </c>
      <c r="W415" s="44" t="s">
        <v>74</v>
      </c>
      <c r="X415" s="44" t="s">
        <v>74</v>
      </c>
      <c r="Y415" s="44" t="s">
        <v>74</v>
      </c>
      <c r="Z415" s="44" t="s">
        <v>74</v>
      </c>
      <c r="AA415" s="44" t="s">
        <v>74</v>
      </c>
      <c r="AB415" s="44" t="s">
        <v>74</v>
      </c>
      <c r="AC415" s="44" t="s">
        <v>74</v>
      </c>
      <c r="AD415" s="44" t="s">
        <v>74</v>
      </c>
      <c r="AE415" s="44" t="s">
        <v>74</v>
      </c>
      <c r="AF415" s="44" t="s">
        <v>74</v>
      </c>
      <c r="AG415" s="44" t="s">
        <v>74</v>
      </c>
      <c r="AH415" s="44" t="s">
        <v>74</v>
      </c>
      <c r="AI415" s="44" t="s">
        <v>74</v>
      </c>
      <c r="AJ415" s="44" t="s">
        <v>74</v>
      </c>
      <c r="AK415" s="44" t="s">
        <v>74</v>
      </c>
      <c r="AL415" s="44" t="s">
        <v>74</v>
      </c>
      <c r="AM415" s="44" t="s">
        <v>74</v>
      </c>
      <c r="AN415" s="44" t="s">
        <v>74</v>
      </c>
      <c r="AO415" s="44" t="s">
        <v>74</v>
      </c>
      <c r="AP415" s="44" t="s">
        <v>74</v>
      </c>
      <c r="AQ415" s="44" t="s">
        <v>74</v>
      </c>
      <c r="AR415" s="44" t="s">
        <v>74</v>
      </c>
      <c r="AS415" s="44" t="s">
        <v>74</v>
      </c>
      <c r="AT415" s="44" t="s">
        <v>74</v>
      </c>
      <c r="AU415" s="44" t="s">
        <v>74</v>
      </c>
      <c r="AV415" s="44" t="s">
        <v>74</v>
      </c>
      <c r="AW415" s="44" t="s">
        <v>74</v>
      </c>
      <c r="AX415" s="62" t="s">
        <v>74</v>
      </c>
      <c r="AY415" s="62" t="s">
        <v>74</v>
      </c>
      <c r="AZ415" s="62" t="s">
        <v>74</v>
      </c>
      <c r="BA415" s="62" t="s">
        <v>74</v>
      </c>
      <c r="BB415" s="62" t="s">
        <v>74</v>
      </c>
      <c r="BC415" s="62" t="s">
        <v>74</v>
      </c>
      <c r="BD415" s="62" t="s">
        <v>74</v>
      </c>
      <c r="BE415" s="44" t="s">
        <v>74</v>
      </c>
      <c r="BF415" s="44" t="s">
        <v>74</v>
      </c>
      <c r="BG415" s="62" t="s">
        <v>74</v>
      </c>
      <c r="BH415" s="62" t="s">
        <v>74</v>
      </c>
      <c r="BI415" s="44" t="s">
        <v>74</v>
      </c>
      <c r="BJ415" s="44" t="s">
        <v>74</v>
      </c>
      <c r="BK415" s="44" t="s">
        <v>74</v>
      </c>
      <c r="BL415" s="45" t="s">
        <v>74</v>
      </c>
      <c r="BM415" s="45" t="s">
        <v>74</v>
      </c>
      <c r="BN415" s="44" t="s">
        <v>74</v>
      </c>
      <c r="BO415" s="62" t="s">
        <v>74</v>
      </c>
      <c r="BP415" s="62" t="s">
        <v>74</v>
      </c>
      <c r="BQ415" s="62" t="s">
        <v>74</v>
      </c>
      <c r="BR415" s="62" t="s">
        <v>74</v>
      </c>
      <c r="BS415" s="53" t="s">
        <v>74</v>
      </c>
      <c r="BT415" s="44" t="s">
        <v>74</v>
      </c>
      <c r="BU415" s="44" t="s">
        <v>74</v>
      </c>
      <c r="BV415" s="44" t="s">
        <v>74</v>
      </c>
      <c r="BW415" s="44" t="s">
        <v>74</v>
      </c>
      <c r="BX415" s="44" t="s">
        <v>74</v>
      </c>
      <c r="BY415" s="44" t="s">
        <v>74</v>
      </c>
    </row>
    <row r="416" spans="1:77">
      <c r="A416">
        <v>0</v>
      </c>
      <c r="B416" s="60" t="s">
        <v>74</v>
      </c>
      <c r="C416" s="60" t="s">
        <v>74</v>
      </c>
      <c r="D416" s="61" t="s">
        <v>74</v>
      </c>
      <c r="E416" s="52" t="s">
        <v>74</v>
      </c>
      <c r="F416" s="52" t="s">
        <v>74</v>
      </c>
      <c r="G416" s="52" t="s">
        <v>74</v>
      </c>
      <c r="H416" s="44" t="s">
        <v>74</v>
      </c>
      <c r="I416" s="44" t="s">
        <v>74</v>
      </c>
      <c r="J416" s="44" t="s">
        <v>74</v>
      </c>
      <c r="K416" s="44" t="s">
        <v>74</v>
      </c>
      <c r="L416" s="44" t="s">
        <v>74</v>
      </c>
      <c r="M416" s="44" t="s">
        <v>74</v>
      </c>
      <c r="N416" s="44" t="s">
        <v>74</v>
      </c>
      <c r="O416" s="44" t="s">
        <v>74</v>
      </c>
      <c r="P416" s="44" t="s">
        <v>74</v>
      </c>
      <c r="Q416" s="44" t="s">
        <v>74</v>
      </c>
      <c r="R416" s="44" t="s">
        <v>74</v>
      </c>
      <c r="S416" s="44" t="s">
        <v>74</v>
      </c>
      <c r="T416" s="44" t="s">
        <v>74</v>
      </c>
      <c r="U416" s="44" t="s">
        <v>74</v>
      </c>
      <c r="V416" s="44" t="s">
        <v>74</v>
      </c>
      <c r="W416" s="44" t="s">
        <v>74</v>
      </c>
      <c r="X416" s="44" t="s">
        <v>74</v>
      </c>
      <c r="Y416" s="44" t="s">
        <v>74</v>
      </c>
      <c r="Z416" s="44" t="s">
        <v>74</v>
      </c>
      <c r="AA416" s="44" t="s">
        <v>74</v>
      </c>
      <c r="AB416" s="44" t="s">
        <v>74</v>
      </c>
      <c r="AC416" s="44" t="s">
        <v>74</v>
      </c>
      <c r="AD416" s="44" t="s">
        <v>74</v>
      </c>
      <c r="AE416" s="44" t="s">
        <v>74</v>
      </c>
      <c r="AF416" s="44" t="s">
        <v>74</v>
      </c>
      <c r="AG416" s="44" t="s">
        <v>74</v>
      </c>
      <c r="AH416" s="44" t="s">
        <v>74</v>
      </c>
      <c r="AI416" s="44" t="s">
        <v>74</v>
      </c>
      <c r="AJ416" s="44" t="s">
        <v>74</v>
      </c>
      <c r="AK416" s="44" t="s">
        <v>74</v>
      </c>
      <c r="AL416" s="44" t="s">
        <v>74</v>
      </c>
      <c r="AM416" s="44" t="s">
        <v>74</v>
      </c>
      <c r="AN416" s="44" t="s">
        <v>74</v>
      </c>
      <c r="AO416" s="44" t="s">
        <v>74</v>
      </c>
      <c r="AP416" s="44" t="s">
        <v>74</v>
      </c>
      <c r="AQ416" s="44" t="s">
        <v>74</v>
      </c>
      <c r="AR416" s="44" t="s">
        <v>74</v>
      </c>
      <c r="AS416" s="44" t="s">
        <v>74</v>
      </c>
      <c r="AT416" s="44" t="s">
        <v>74</v>
      </c>
      <c r="AU416" s="44" t="s">
        <v>74</v>
      </c>
      <c r="AV416" s="44" t="s">
        <v>74</v>
      </c>
      <c r="AW416" s="44" t="s">
        <v>74</v>
      </c>
      <c r="AX416" s="62" t="s">
        <v>74</v>
      </c>
      <c r="AY416" s="62" t="s">
        <v>74</v>
      </c>
      <c r="AZ416" s="62" t="s">
        <v>74</v>
      </c>
      <c r="BA416" s="62" t="s">
        <v>74</v>
      </c>
      <c r="BB416" s="62" t="s">
        <v>74</v>
      </c>
      <c r="BC416" s="62" t="s">
        <v>74</v>
      </c>
      <c r="BD416" s="62" t="s">
        <v>74</v>
      </c>
      <c r="BE416" s="44" t="s">
        <v>74</v>
      </c>
      <c r="BF416" s="44" t="s">
        <v>74</v>
      </c>
      <c r="BG416" s="62" t="s">
        <v>74</v>
      </c>
      <c r="BH416" s="62" t="s">
        <v>74</v>
      </c>
      <c r="BI416" s="44" t="s">
        <v>74</v>
      </c>
      <c r="BJ416" s="44" t="s">
        <v>74</v>
      </c>
      <c r="BK416" s="44" t="s">
        <v>74</v>
      </c>
      <c r="BL416" s="45" t="s">
        <v>74</v>
      </c>
      <c r="BM416" s="45" t="s">
        <v>74</v>
      </c>
      <c r="BN416" s="44" t="s">
        <v>74</v>
      </c>
      <c r="BO416" s="62" t="s">
        <v>74</v>
      </c>
      <c r="BP416" s="62" t="s">
        <v>74</v>
      </c>
      <c r="BQ416" s="62" t="s">
        <v>74</v>
      </c>
      <c r="BR416" s="62" t="s">
        <v>74</v>
      </c>
      <c r="BS416" s="53" t="s">
        <v>74</v>
      </c>
      <c r="BT416" s="44" t="s">
        <v>74</v>
      </c>
      <c r="BU416" s="44" t="s">
        <v>74</v>
      </c>
      <c r="BV416" s="44" t="s">
        <v>74</v>
      </c>
      <c r="BW416" s="44" t="s">
        <v>74</v>
      </c>
      <c r="BX416" s="44" t="s">
        <v>74</v>
      </c>
      <c r="BY416" s="44" t="s">
        <v>74</v>
      </c>
    </row>
    <row r="417" spans="1:77">
      <c r="A417">
        <v>0</v>
      </c>
      <c r="B417" s="60" t="s">
        <v>74</v>
      </c>
      <c r="C417" s="60" t="s">
        <v>74</v>
      </c>
      <c r="D417" s="61" t="s">
        <v>74</v>
      </c>
      <c r="E417" s="52" t="s">
        <v>74</v>
      </c>
      <c r="F417" s="52" t="s">
        <v>74</v>
      </c>
      <c r="G417" s="52" t="s">
        <v>74</v>
      </c>
      <c r="H417" s="44" t="s">
        <v>74</v>
      </c>
      <c r="I417" s="44" t="s">
        <v>74</v>
      </c>
      <c r="J417" s="44" t="s">
        <v>74</v>
      </c>
      <c r="K417" s="44" t="s">
        <v>74</v>
      </c>
      <c r="L417" s="44" t="s">
        <v>74</v>
      </c>
      <c r="M417" s="44" t="s">
        <v>74</v>
      </c>
      <c r="N417" s="44" t="s">
        <v>74</v>
      </c>
      <c r="O417" s="44" t="s">
        <v>74</v>
      </c>
      <c r="P417" s="44" t="s">
        <v>74</v>
      </c>
      <c r="Q417" s="44" t="s">
        <v>74</v>
      </c>
      <c r="R417" s="44" t="s">
        <v>74</v>
      </c>
      <c r="S417" s="44" t="s">
        <v>74</v>
      </c>
      <c r="T417" s="44" t="s">
        <v>74</v>
      </c>
      <c r="U417" s="44" t="s">
        <v>74</v>
      </c>
      <c r="V417" s="44" t="s">
        <v>74</v>
      </c>
      <c r="W417" s="44" t="s">
        <v>74</v>
      </c>
      <c r="X417" s="44" t="s">
        <v>74</v>
      </c>
      <c r="Y417" s="44" t="s">
        <v>74</v>
      </c>
      <c r="Z417" s="44" t="s">
        <v>74</v>
      </c>
      <c r="AA417" s="44" t="s">
        <v>74</v>
      </c>
      <c r="AB417" s="44" t="s">
        <v>74</v>
      </c>
      <c r="AC417" s="44" t="s">
        <v>74</v>
      </c>
      <c r="AD417" s="44" t="s">
        <v>74</v>
      </c>
      <c r="AE417" s="44" t="s">
        <v>74</v>
      </c>
      <c r="AF417" s="44" t="s">
        <v>74</v>
      </c>
      <c r="AG417" s="44" t="s">
        <v>74</v>
      </c>
      <c r="AH417" s="44" t="s">
        <v>74</v>
      </c>
      <c r="AI417" s="44" t="s">
        <v>74</v>
      </c>
      <c r="AJ417" s="44" t="s">
        <v>74</v>
      </c>
      <c r="AK417" s="44" t="s">
        <v>74</v>
      </c>
      <c r="AL417" s="44" t="s">
        <v>74</v>
      </c>
      <c r="AM417" s="44" t="s">
        <v>74</v>
      </c>
      <c r="AN417" s="44" t="s">
        <v>74</v>
      </c>
      <c r="AO417" s="44" t="s">
        <v>74</v>
      </c>
      <c r="AP417" s="44" t="s">
        <v>74</v>
      </c>
      <c r="AQ417" s="44" t="s">
        <v>74</v>
      </c>
      <c r="AR417" s="44" t="s">
        <v>74</v>
      </c>
      <c r="AS417" s="44" t="s">
        <v>74</v>
      </c>
      <c r="AT417" s="44" t="s">
        <v>74</v>
      </c>
      <c r="AU417" s="44" t="s">
        <v>74</v>
      </c>
      <c r="AV417" s="44" t="s">
        <v>74</v>
      </c>
      <c r="AW417" s="44" t="s">
        <v>74</v>
      </c>
      <c r="AX417" s="62" t="s">
        <v>74</v>
      </c>
      <c r="AY417" s="62" t="s">
        <v>74</v>
      </c>
      <c r="AZ417" s="62" t="s">
        <v>74</v>
      </c>
      <c r="BA417" s="62" t="s">
        <v>74</v>
      </c>
      <c r="BB417" s="62" t="s">
        <v>74</v>
      </c>
      <c r="BC417" s="62" t="s">
        <v>74</v>
      </c>
      <c r="BD417" s="62" t="s">
        <v>74</v>
      </c>
      <c r="BE417" s="44" t="s">
        <v>74</v>
      </c>
      <c r="BF417" s="44" t="s">
        <v>74</v>
      </c>
      <c r="BG417" s="62" t="s">
        <v>74</v>
      </c>
      <c r="BH417" s="62" t="s">
        <v>74</v>
      </c>
      <c r="BI417" s="44" t="s">
        <v>74</v>
      </c>
      <c r="BJ417" s="44" t="s">
        <v>74</v>
      </c>
      <c r="BK417" s="44" t="s">
        <v>74</v>
      </c>
      <c r="BL417" s="45" t="s">
        <v>74</v>
      </c>
      <c r="BM417" s="45" t="s">
        <v>74</v>
      </c>
      <c r="BN417" s="44" t="s">
        <v>74</v>
      </c>
      <c r="BO417" s="62" t="s">
        <v>74</v>
      </c>
      <c r="BP417" s="62" t="s">
        <v>74</v>
      </c>
      <c r="BQ417" s="62" t="s">
        <v>74</v>
      </c>
      <c r="BR417" s="62" t="s">
        <v>74</v>
      </c>
      <c r="BS417" s="53" t="s">
        <v>74</v>
      </c>
      <c r="BT417" s="44" t="s">
        <v>74</v>
      </c>
      <c r="BU417" s="44" t="s">
        <v>74</v>
      </c>
      <c r="BV417" s="44" t="s">
        <v>74</v>
      </c>
      <c r="BW417" s="44" t="s">
        <v>74</v>
      </c>
      <c r="BX417" s="44" t="s">
        <v>74</v>
      </c>
      <c r="BY417" s="44" t="s">
        <v>74</v>
      </c>
    </row>
    <row r="418" spans="1:77">
      <c r="A418">
        <v>0</v>
      </c>
      <c r="B418" s="60" t="s">
        <v>74</v>
      </c>
      <c r="C418" s="60" t="s">
        <v>74</v>
      </c>
      <c r="D418" s="61" t="s">
        <v>74</v>
      </c>
      <c r="E418" s="52" t="s">
        <v>74</v>
      </c>
      <c r="F418" s="52" t="s">
        <v>74</v>
      </c>
      <c r="G418" s="52" t="s">
        <v>74</v>
      </c>
      <c r="H418" s="44" t="s">
        <v>74</v>
      </c>
      <c r="I418" s="44" t="s">
        <v>74</v>
      </c>
      <c r="J418" s="44" t="s">
        <v>74</v>
      </c>
      <c r="K418" s="44" t="s">
        <v>74</v>
      </c>
      <c r="L418" s="44" t="s">
        <v>74</v>
      </c>
      <c r="M418" s="44" t="s">
        <v>74</v>
      </c>
      <c r="N418" s="44" t="s">
        <v>74</v>
      </c>
      <c r="O418" s="44" t="s">
        <v>74</v>
      </c>
      <c r="P418" s="44" t="s">
        <v>74</v>
      </c>
      <c r="Q418" s="44" t="s">
        <v>74</v>
      </c>
      <c r="R418" s="44" t="s">
        <v>74</v>
      </c>
      <c r="S418" s="44" t="s">
        <v>74</v>
      </c>
      <c r="T418" s="44" t="s">
        <v>74</v>
      </c>
      <c r="U418" s="44" t="s">
        <v>74</v>
      </c>
      <c r="V418" s="44" t="s">
        <v>74</v>
      </c>
      <c r="W418" s="44" t="s">
        <v>74</v>
      </c>
      <c r="X418" s="44" t="s">
        <v>74</v>
      </c>
      <c r="Y418" s="44" t="s">
        <v>74</v>
      </c>
      <c r="Z418" s="44" t="s">
        <v>74</v>
      </c>
      <c r="AA418" s="44" t="s">
        <v>74</v>
      </c>
      <c r="AB418" s="44" t="s">
        <v>74</v>
      </c>
      <c r="AC418" s="44" t="s">
        <v>74</v>
      </c>
      <c r="AD418" s="44" t="s">
        <v>74</v>
      </c>
      <c r="AE418" s="44" t="s">
        <v>74</v>
      </c>
      <c r="AF418" s="44" t="s">
        <v>74</v>
      </c>
      <c r="AG418" s="44" t="s">
        <v>74</v>
      </c>
      <c r="AH418" s="44" t="s">
        <v>74</v>
      </c>
      <c r="AI418" s="44" t="s">
        <v>74</v>
      </c>
      <c r="AJ418" s="44" t="s">
        <v>74</v>
      </c>
      <c r="AK418" s="44" t="s">
        <v>74</v>
      </c>
      <c r="AL418" s="44" t="s">
        <v>74</v>
      </c>
      <c r="AM418" s="44" t="s">
        <v>74</v>
      </c>
      <c r="AN418" s="44" t="s">
        <v>74</v>
      </c>
      <c r="AO418" s="44" t="s">
        <v>74</v>
      </c>
      <c r="AP418" s="44" t="s">
        <v>74</v>
      </c>
      <c r="AQ418" s="44" t="s">
        <v>74</v>
      </c>
      <c r="AR418" s="44" t="s">
        <v>74</v>
      </c>
      <c r="AS418" s="44" t="s">
        <v>74</v>
      </c>
      <c r="AT418" s="44" t="s">
        <v>74</v>
      </c>
      <c r="AU418" s="44" t="s">
        <v>74</v>
      </c>
      <c r="AV418" s="44" t="s">
        <v>74</v>
      </c>
      <c r="AW418" s="44" t="s">
        <v>74</v>
      </c>
      <c r="AX418" s="62" t="s">
        <v>74</v>
      </c>
      <c r="AY418" s="62" t="s">
        <v>74</v>
      </c>
      <c r="AZ418" s="62" t="s">
        <v>74</v>
      </c>
      <c r="BA418" s="62" t="s">
        <v>74</v>
      </c>
      <c r="BB418" s="62" t="s">
        <v>74</v>
      </c>
      <c r="BC418" s="62" t="s">
        <v>74</v>
      </c>
      <c r="BD418" s="62" t="s">
        <v>74</v>
      </c>
      <c r="BE418" s="44" t="s">
        <v>74</v>
      </c>
      <c r="BF418" s="44" t="s">
        <v>74</v>
      </c>
      <c r="BG418" s="62" t="s">
        <v>74</v>
      </c>
      <c r="BH418" s="62" t="s">
        <v>74</v>
      </c>
      <c r="BI418" s="44" t="s">
        <v>74</v>
      </c>
      <c r="BJ418" s="44" t="s">
        <v>74</v>
      </c>
      <c r="BK418" s="44" t="s">
        <v>74</v>
      </c>
      <c r="BL418" s="45" t="s">
        <v>74</v>
      </c>
      <c r="BM418" s="45" t="s">
        <v>74</v>
      </c>
      <c r="BN418" s="44" t="s">
        <v>74</v>
      </c>
      <c r="BO418" s="62" t="s">
        <v>74</v>
      </c>
      <c r="BP418" s="62" t="s">
        <v>74</v>
      </c>
      <c r="BQ418" s="62" t="s">
        <v>74</v>
      </c>
      <c r="BR418" s="62" t="s">
        <v>74</v>
      </c>
      <c r="BS418" s="53" t="s">
        <v>74</v>
      </c>
      <c r="BT418" s="44" t="s">
        <v>74</v>
      </c>
      <c r="BU418" s="44" t="s">
        <v>74</v>
      </c>
      <c r="BV418" s="44" t="s">
        <v>74</v>
      </c>
      <c r="BW418" s="44" t="s">
        <v>74</v>
      </c>
      <c r="BX418" s="44" t="s">
        <v>74</v>
      </c>
      <c r="BY418" s="44" t="s">
        <v>74</v>
      </c>
    </row>
    <row r="419" spans="1:77">
      <c r="A419">
        <v>0</v>
      </c>
      <c r="B419" s="60" t="s">
        <v>74</v>
      </c>
      <c r="C419" s="60" t="s">
        <v>74</v>
      </c>
      <c r="D419" s="61" t="s">
        <v>74</v>
      </c>
      <c r="E419" s="52" t="s">
        <v>74</v>
      </c>
      <c r="F419" s="52" t="s">
        <v>74</v>
      </c>
      <c r="G419" s="52" t="s">
        <v>74</v>
      </c>
      <c r="H419" s="44" t="s">
        <v>74</v>
      </c>
      <c r="I419" s="44" t="s">
        <v>74</v>
      </c>
      <c r="J419" s="44" t="s">
        <v>74</v>
      </c>
      <c r="K419" s="44" t="s">
        <v>74</v>
      </c>
      <c r="L419" s="44" t="s">
        <v>74</v>
      </c>
      <c r="M419" s="44" t="s">
        <v>74</v>
      </c>
      <c r="N419" s="44" t="s">
        <v>74</v>
      </c>
      <c r="O419" s="44" t="s">
        <v>74</v>
      </c>
      <c r="P419" s="44" t="s">
        <v>74</v>
      </c>
      <c r="Q419" s="44" t="s">
        <v>74</v>
      </c>
      <c r="R419" s="44" t="s">
        <v>74</v>
      </c>
      <c r="S419" s="44" t="s">
        <v>74</v>
      </c>
      <c r="T419" s="44" t="s">
        <v>74</v>
      </c>
      <c r="U419" s="44" t="s">
        <v>74</v>
      </c>
      <c r="V419" s="44" t="s">
        <v>74</v>
      </c>
      <c r="W419" s="44" t="s">
        <v>74</v>
      </c>
      <c r="X419" s="44" t="s">
        <v>74</v>
      </c>
      <c r="Y419" s="44" t="s">
        <v>74</v>
      </c>
      <c r="Z419" s="44" t="s">
        <v>74</v>
      </c>
      <c r="AA419" s="44" t="s">
        <v>74</v>
      </c>
      <c r="AB419" s="44" t="s">
        <v>74</v>
      </c>
      <c r="AC419" s="44" t="s">
        <v>74</v>
      </c>
      <c r="AD419" s="44" t="s">
        <v>74</v>
      </c>
      <c r="AE419" s="44" t="s">
        <v>74</v>
      </c>
      <c r="AF419" s="44" t="s">
        <v>74</v>
      </c>
      <c r="AG419" s="44" t="s">
        <v>74</v>
      </c>
      <c r="AH419" s="44" t="s">
        <v>74</v>
      </c>
      <c r="AI419" s="44" t="s">
        <v>74</v>
      </c>
      <c r="AJ419" s="44" t="s">
        <v>74</v>
      </c>
      <c r="AK419" s="44" t="s">
        <v>74</v>
      </c>
      <c r="AL419" s="44" t="s">
        <v>74</v>
      </c>
      <c r="AM419" s="44" t="s">
        <v>74</v>
      </c>
      <c r="AN419" s="44" t="s">
        <v>74</v>
      </c>
      <c r="AO419" s="44" t="s">
        <v>74</v>
      </c>
      <c r="AP419" s="44" t="s">
        <v>74</v>
      </c>
      <c r="AQ419" s="44" t="s">
        <v>74</v>
      </c>
      <c r="AR419" s="44" t="s">
        <v>74</v>
      </c>
      <c r="AS419" s="44" t="s">
        <v>74</v>
      </c>
      <c r="AT419" s="44" t="s">
        <v>74</v>
      </c>
      <c r="AU419" s="44" t="s">
        <v>74</v>
      </c>
      <c r="AV419" s="44" t="s">
        <v>74</v>
      </c>
      <c r="AW419" s="44" t="s">
        <v>74</v>
      </c>
      <c r="AX419" s="62" t="s">
        <v>74</v>
      </c>
      <c r="AY419" s="62" t="s">
        <v>74</v>
      </c>
      <c r="AZ419" s="62" t="s">
        <v>74</v>
      </c>
      <c r="BA419" s="62" t="s">
        <v>74</v>
      </c>
      <c r="BB419" s="62" t="s">
        <v>74</v>
      </c>
      <c r="BC419" s="62" t="s">
        <v>74</v>
      </c>
      <c r="BD419" s="62" t="s">
        <v>74</v>
      </c>
      <c r="BE419" s="44" t="s">
        <v>74</v>
      </c>
      <c r="BF419" s="44" t="s">
        <v>74</v>
      </c>
      <c r="BG419" s="62" t="s">
        <v>74</v>
      </c>
      <c r="BH419" s="62" t="s">
        <v>74</v>
      </c>
      <c r="BI419" s="44" t="s">
        <v>74</v>
      </c>
      <c r="BJ419" s="44" t="s">
        <v>74</v>
      </c>
      <c r="BK419" s="44" t="s">
        <v>74</v>
      </c>
      <c r="BL419" s="45" t="s">
        <v>74</v>
      </c>
      <c r="BM419" s="45" t="s">
        <v>74</v>
      </c>
      <c r="BN419" s="44" t="s">
        <v>74</v>
      </c>
      <c r="BO419" s="62" t="s">
        <v>74</v>
      </c>
      <c r="BP419" s="62" t="s">
        <v>74</v>
      </c>
      <c r="BQ419" s="62" t="s">
        <v>74</v>
      </c>
      <c r="BR419" s="62" t="s">
        <v>74</v>
      </c>
      <c r="BS419" s="53" t="s">
        <v>74</v>
      </c>
      <c r="BT419" s="44" t="s">
        <v>74</v>
      </c>
      <c r="BU419" s="44" t="s">
        <v>74</v>
      </c>
      <c r="BV419" s="44" t="s">
        <v>74</v>
      </c>
      <c r="BW419" s="44" t="s">
        <v>74</v>
      </c>
      <c r="BX419" s="44" t="s">
        <v>74</v>
      </c>
      <c r="BY419" s="44" t="s">
        <v>74</v>
      </c>
    </row>
    <row r="420" spans="1:77">
      <c r="A420">
        <v>0</v>
      </c>
      <c r="B420" s="60" t="s">
        <v>74</v>
      </c>
      <c r="C420" s="60" t="s">
        <v>74</v>
      </c>
      <c r="D420" s="61" t="s">
        <v>74</v>
      </c>
      <c r="E420" s="52" t="s">
        <v>74</v>
      </c>
      <c r="F420" s="52" t="s">
        <v>74</v>
      </c>
      <c r="G420" s="52" t="s">
        <v>74</v>
      </c>
      <c r="H420" s="44" t="s">
        <v>74</v>
      </c>
      <c r="I420" s="44" t="s">
        <v>74</v>
      </c>
      <c r="J420" s="44" t="s">
        <v>74</v>
      </c>
      <c r="K420" s="44" t="s">
        <v>74</v>
      </c>
      <c r="L420" s="44" t="s">
        <v>74</v>
      </c>
      <c r="M420" s="44" t="s">
        <v>74</v>
      </c>
      <c r="N420" s="44" t="s">
        <v>74</v>
      </c>
      <c r="O420" s="44" t="s">
        <v>74</v>
      </c>
      <c r="P420" s="44" t="s">
        <v>74</v>
      </c>
      <c r="Q420" s="44" t="s">
        <v>74</v>
      </c>
      <c r="R420" s="44" t="s">
        <v>74</v>
      </c>
      <c r="S420" s="44" t="s">
        <v>74</v>
      </c>
      <c r="T420" s="44" t="s">
        <v>74</v>
      </c>
      <c r="U420" s="44" t="s">
        <v>74</v>
      </c>
      <c r="V420" s="44" t="s">
        <v>74</v>
      </c>
      <c r="W420" s="44" t="s">
        <v>74</v>
      </c>
      <c r="X420" s="44" t="s">
        <v>74</v>
      </c>
      <c r="Y420" s="44" t="s">
        <v>74</v>
      </c>
      <c r="Z420" s="44" t="s">
        <v>74</v>
      </c>
      <c r="AA420" s="44" t="s">
        <v>74</v>
      </c>
      <c r="AB420" s="44" t="s">
        <v>74</v>
      </c>
      <c r="AC420" s="44" t="s">
        <v>74</v>
      </c>
      <c r="AD420" s="44" t="s">
        <v>74</v>
      </c>
      <c r="AE420" s="44" t="s">
        <v>74</v>
      </c>
      <c r="AF420" s="44" t="s">
        <v>74</v>
      </c>
      <c r="AG420" s="44" t="s">
        <v>74</v>
      </c>
      <c r="AH420" s="44" t="s">
        <v>74</v>
      </c>
      <c r="AI420" s="44" t="s">
        <v>74</v>
      </c>
      <c r="AJ420" s="44" t="s">
        <v>74</v>
      </c>
      <c r="AK420" s="44" t="s">
        <v>74</v>
      </c>
      <c r="AL420" s="44" t="s">
        <v>74</v>
      </c>
      <c r="AM420" s="44" t="s">
        <v>74</v>
      </c>
      <c r="AN420" s="44" t="s">
        <v>74</v>
      </c>
      <c r="AO420" s="44" t="s">
        <v>74</v>
      </c>
      <c r="AP420" s="44" t="s">
        <v>74</v>
      </c>
      <c r="AQ420" s="44" t="s">
        <v>74</v>
      </c>
      <c r="AR420" s="44" t="s">
        <v>74</v>
      </c>
      <c r="AS420" s="44" t="s">
        <v>74</v>
      </c>
      <c r="AT420" s="44" t="s">
        <v>74</v>
      </c>
      <c r="AU420" s="44" t="s">
        <v>74</v>
      </c>
      <c r="AV420" s="44" t="s">
        <v>74</v>
      </c>
      <c r="AW420" s="44" t="s">
        <v>74</v>
      </c>
      <c r="AX420" s="62" t="s">
        <v>74</v>
      </c>
      <c r="AY420" s="62" t="s">
        <v>74</v>
      </c>
      <c r="AZ420" s="62" t="s">
        <v>74</v>
      </c>
      <c r="BA420" s="62" t="s">
        <v>74</v>
      </c>
      <c r="BB420" s="62" t="s">
        <v>74</v>
      </c>
      <c r="BC420" s="62" t="s">
        <v>74</v>
      </c>
      <c r="BD420" s="62" t="s">
        <v>74</v>
      </c>
      <c r="BE420" s="44" t="s">
        <v>74</v>
      </c>
      <c r="BF420" s="44" t="s">
        <v>74</v>
      </c>
      <c r="BG420" s="62" t="s">
        <v>74</v>
      </c>
      <c r="BH420" s="62" t="s">
        <v>74</v>
      </c>
      <c r="BI420" s="44" t="s">
        <v>74</v>
      </c>
      <c r="BJ420" s="44" t="s">
        <v>74</v>
      </c>
      <c r="BK420" s="44" t="s">
        <v>74</v>
      </c>
      <c r="BL420" s="45" t="s">
        <v>74</v>
      </c>
      <c r="BM420" s="45" t="s">
        <v>74</v>
      </c>
      <c r="BN420" s="44" t="s">
        <v>74</v>
      </c>
      <c r="BO420" s="62" t="s">
        <v>74</v>
      </c>
      <c r="BP420" s="62" t="s">
        <v>74</v>
      </c>
      <c r="BQ420" s="62" t="s">
        <v>74</v>
      </c>
      <c r="BR420" s="62" t="s">
        <v>74</v>
      </c>
      <c r="BS420" s="53" t="s">
        <v>74</v>
      </c>
      <c r="BT420" s="44" t="s">
        <v>74</v>
      </c>
      <c r="BU420" s="44" t="s">
        <v>74</v>
      </c>
      <c r="BV420" s="44" t="s">
        <v>74</v>
      </c>
      <c r="BW420" s="44" t="s">
        <v>74</v>
      </c>
      <c r="BX420" s="44" t="s">
        <v>74</v>
      </c>
      <c r="BY420" s="44" t="s">
        <v>74</v>
      </c>
    </row>
    <row r="421" spans="1:77">
      <c r="A421">
        <v>0</v>
      </c>
      <c r="B421" s="60" t="s">
        <v>74</v>
      </c>
      <c r="C421" s="60" t="s">
        <v>74</v>
      </c>
      <c r="D421" s="61" t="s">
        <v>74</v>
      </c>
      <c r="E421" s="52" t="s">
        <v>74</v>
      </c>
      <c r="F421" s="52" t="s">
        <v>74</v>
      </c>
      <c r="G421" s="52" t="s">
        <v>74</v>
      </c>
      <c r="H421" s="44" t="s">
        <v>74</v>
      </c>
      <c r="I421" s="44" t="s">
        <v>74</v>
      </c>
      <c r="J421" s="44" t="s">
        <v>74</v>
      </c>
      <c r="K421" s="44" t="s">
        <v>74</v>
      </c>
      <c r="L421" s="44" t="s">
        <v>74</v>
      </c>
      <c r="M421" s="44" t="s">
        <v>74</v>
      </c>
      <c r="N421" s="44" t="s">
        <v>74</v>
      </c>
      <c r="O421" s="44" t="s">
        <v>74</v>
      </c>
      <c r="P421" s="44" t="s">
        <v>74</v>
      </c>
      <c r="Q421" s="44" t="s">
        <v>74</v>
      </c>
      <c r="R421" s="44" t="s">
        <v>74</v>
      </c>
      <c r="S421" s="44" t="s">
        <v>74</v>
      </c>
      <c r="T421" s="44" t="s">
        <v>74</v>
      </c>
      <c r="U421" s="44" t="s">
        <v>74</v>
      </c>
      <c r="V421" s="44" t="s">
        <v>74</v>
      </c>
      <c r="W421" s="44" t="s">
        <v>74</v>
      </c>
      <c r="X421" s="44" t="s">
        <v>74</v>
      </c>
      <c r="Y421" s="44" t="s">
        <v>74</v>
      </c>
      <c r="Z421" s="44" t="s">
        <v>74</v>
      </c>
      <c r="AA421" s="44" t="s">
        <v>74</v>
      </c>
      <c r="AB421" s="44" t="s">
        <v>74</v>
      </c>
      <c r="AC421" s="44" t="s">
        <v>74</v>
      </c>
      <c r="AD421" s="44" t="s">
        <v>74</v>
      </c>
      <c r="AE421" s="44" t="s">
        <v>74</v>
      </c>
      <c r="AF421" s="44" t="s">
        <v>74</v>
      </c>
      <c r="AG421" s="44" t="s">
        <v>74</v>
      </c>
      <c r="AH421" s="44" t="s">
        <v>74</v>
      </c>
      <c r="AI421" s="44" t="s">
        <v>74</v>
      </c>
      <c r="AJ421" s="44" t="s">
        <v>74</v>
      </c>
      <c r="AK421" s="44" t="s">
        <v>74</v>
      </c>
      <c r="AL421" s="44" t="s">
        <v>74</v>
      </c>
      <c r="AM421" s="44" t="s">
        <v>74</v>
      </c>
      <c r="AN421" s="44" t="s">
        <v>74</v>
      </c>
      <c r="AO421" s="44" t="s">
        <v>74</v>
      </c>
      <c r="AP421" s="44" t="s">
        <v>74</v>
      </c>
      <c r="AQ421" s="44" t="s">
        <v>74</v>
      </c>
      <c r="AR421" s="44" t="s">
        <v>74</v>
      </c>
      <c r="AS421" s="44" t="s">
        <v>74</v>
      </c>
      <c r="AT421" s="44" t="s">
        <v>74</v>
      </c>
      <c r="AU421" s="44" t="s">
        <v>74</v>
      </c>
      <c r="AV421" s="44" t="s">
        <v>74</v>
      </c>
      <c r="AW421" s="44" t="s">
        <v>74</v>
      </c>
      <c r="AX421" s="62" t="s">
        <v>74</v>
      </c>
      <c r="AY421" s="62" t="s">
        <v>74</v>
      </c>
      <c r="AZ421" s="62" t="s">
        <v>74</v>
      </c>
      <c r="BA421" s="62" t="s">
        <v>74</v>
      </c>
      <c r="BB421" s="62" t="s">
        <v>74</v>
      </c>
      <c r="BC421" s="62" t="s">
        <v>74</v>
      </c>
      <c r="BD421" s="62" t="s">
        <v>74</v>
      </c>
      <c r="BE421" s="44" t="s">
        <v>74</v>
      </c>
      <c r="BF421" s="44" t="s">
        <v>74</v>
      </c>
      <c r="BG421" s="62" t="s">
        <v>74</v>
      </c>
      <c r="BH421" s="62" t="s">
        <v>74</v>
      </c>
      <c r="BI421" s="44" t="s">
        <v>74</v>
      </c>
      <c r="BJ421" s="44" t="s">
        <v>74</v>
      </c>
      <c r="BK421" s="44" t="s">
        <v>74</v>
      </c>
      <c r="BL421" s="45" t="s">
        <v>74</v>
      </c>
      <c r="BM421" s="45" t="s">
        <v>74</v>
      </c>
      <c r="BN421" s="44" t="s">
        <v>74</v>
      </c>
      <c r="BO421" s="62" t="s">
        <v>74</v>
      </c>
      <c r="BP421" s="62" t="s">
        <v>74</v>
      </c>
      <c r="BQ421" s="62" t="s">
        <v>74</v>
      </c>
      <c r="BR421" s="62" t="s">
        <v>74</v>
      </c>
      <c r="BS421" s="53" t="s">
        <v>74</v>
      </c>
      <c r="BT421" s="44" t="s">
        <v>74</v>
      </c>
      <c r="BU421" s="44" t="s">
        <v>74</v>
      </c>
      <c r="BV421" s="44" t="s">
        <v>74</v>
      </c>
      <c r="BW421" s="44" t="s">
        <v>74</v>
      </c>
      <c r="BX421" s="44" t="s">
        <v>74</v>
      </c>
      <c r="BY421" s="44" t="s">
        <v>74</v>
      </c>
    </row>
    <row r="422" spans="1:77">
      <c r="A422">
        <v>0</v>
      </c>
      <c r="B422" s="60" t="s">
        <v>74</v>
      </c>
      <c r="C422" s="60" t="s">
        <v>74</v>
      </c>
      <c r="D422" s="61" t="s">
        <v>74</v>
      </c>
      <c r="E422" s="52" t="s">
        <v>74</v>
      </c>
      <c r="F422" s="52" t="s">
        <v>74</v>
      </c>
      <c r="G422" s="52" t="s">
        <v>74</v>
      </c>
      <c r="H422" s="44" t="s">
        <v>74</v>
      </c>
      <c r="I422" s="44" t="s">
        <v>74</v>
      </c>
      <c r="J422" s="44" t="s">
        <v>74</v>
      </c>
      <c r="K422" s="44" t="s">
        <v>74</v>
      </c>
      <c r="L422" s="44" t="s">
        <v>74</v>
      </c>
      <c r="M422" s="44" t="s">
        <v>74</v>
      </c>
      <c r="N422" s="44" t="s">
        <v>74</v>
      </c>
      <c r="O422" s="44" t="s">
        <v>74</v>
      </c>
      <c r="P422" s="44" t="s">
        <v>74</v>
      </c>
      <c r="Q422" s="44" t="s">
        <v>74</v>
      </c>
      <c r="R422" s="44" t="s">
        <v>74</v>
      </c>
      <c r="S422" s="44" t="s">
        <v>74</v>
      </c>
      <c r="T422" s="44" t="s">
        <v>74</v>
      </c>
      <c r="U422" s="44" t="s">
        <v>74</v>
      </c>
      <c r="V422" s="44" t="s">
        <v>74</v>
      </c>
      <c r="W422" s="44" t="s">
        <v>74</v>
      </c>
      <c r="X422" s="44" t="s">
        <v>74</v>
      </c>
      <c r="Y422" s="44" t="s">
        <v>74</v>
      </c>
      <c r="Z422" s="44" t="s">
        <v>74</v>
      </c>
      <c r="AA422" s="44" t="s">
        <v>74</v>
      </c>
      <c r="AB422" s="44" t="s">
        <v>74</v>
      </c>
      <c r="AC422" s="44" t="s">
        <v>74</v>
      </c>
      <c r="AD422" s="44" t="s">
        <v>74</v>
      </c>
      <c r="AE422" s="44" t="s">
        <v>74</v>
      </c>
      <c r="AF422" s="44" t="s">
        <v>74</v>
      </c>
      <c r="AG422" s="44" t="s">
        <v>74</v>
      </c>
      <c r="AH422" s="44" t="s">
        <v>74</v>
      </c>
      <c r="AI422" s="44" t="s">
        <v>74</v>
      </c>
      <c r="AJ422" s="44" t="s">
        <v>74</v>
      </c>
      <c r="AK422" s="44" t="s">
        <v>74</v>
      </c>
      <c r="AL422" s="44" t="s">
        <v>74</v>
      </c>
      <c r="AM422" s="44" t="s">
        <v>74</v>
      </c>
      <c r="AN422" s="44" t="s">
        <v>74</v>
      </c>
      <c r="AO422" s="44" t="s">
        <v>74</v>
      </c>
      <c r="AP422" s="44" t="s">
        <v>74</v>
      </c>
      <c r="AQ422" s="44" t="s">
        <v>74</v>
      </c>
      <c r="AR422" s="44" t="s">
        <v>74</v>
      </c>
      <c r="AS422" s="44" t="s">
        <v>74</v>
      </c>
      <c r="AT422" s="44" t="s">
        <v>74</v>
      </c>
      <c r="AU422" s="44" t="s">
        <v>74</v>
      </c>
      <c r="AV422" s="44" t="s">
        <v>74</v>
      </c>
      <c r="AW422" s="44" t="s">
        <v>74</v>
      </c>
      <c r="AX422" s="62" t="s">
        <v>74</v>
      </c>
      <c r="AY422" s="62" t="s">
        <v>74</v>
      </c>
      <c r="AZ422" s="62" t="s">
        <v>74</v>
      </c>
      <c r="BA422" s="62" t="s">
        <v>74</v>
      </c>
      <c r="BB422" s="62" t="s">
        <v>74</v>
      </c>
      <c r="BC422" s="62" t="s">
        <v>74</v>
      </c>
      <c r="BD422" s="62" t="s">
        <v>74</v>
      </c>
      <c r="BE422" s="44" t="s">
        <v>74</v>
      </c>
      <c r="BF422" s="44" t="s">
        <v>74</v>
      </c>
      <c r="BG422" s="62" t="s">
        <v>74</v>
      </c>
      <c r="BH422" s="62" t="s">
        <v>74</v>
      </c>
      <c r="BI422" s="44" t="s">
        <v>74</v>
      </c>
      <c r="BJ422" s="44" t="s">
        <v>74</v>
      </c>
      <c r="BK422" s="44" t="s">
        <v>74</v>
      </c>
      <c r="BL422" s="45" t="s">
        <v>74</v>
      </c>
      <c r="BM422" s="45" t="s">
        <v>74</v>
      </c>
      <c r="BN422" s="44" t="s">
        <v>74</v>
      </c>
      <c r="BO422" s="62" t="s">
        <v>74</v>
      </c>
      <c r="BP422" s="62" t="s">
        <v>74</v>
      </c>
      <c r="BQ422" s="62" t="s">
        <v>74</v>
      </c>
      <c r="BR422" s="62" t="s">
        <v>74</v>
      </c>
      <c r="BS422" s="53" t="s">
        <v>74</v>
      </c>
      <c r="BT422" s="44" t="s">
        <v>74</v>
      </c>
      <c r="BU422" s="44" t="s">
        <v>74</v>
      </c>
      <c r="BV422" s="44" t="s">
        <v>74</v>
      </c>
      <c r="BW422" s="44" t="s">
        <v>74</v>
      </c>
      <c r="BX422" s="44" t="s">
        <v>74</v>
      </c>
      <c r="BY422" s="44" t="s">
        <v>74</v>
      </c>
    </row>
    <row r="423" spans="1:77">
      <c r="A423">
        <v>0</v>
      </c>
      <c r="B423" s="60" t="s">
        <v>74</v>
      </c>
      <c r="C423" s="60" t="s">
        <v>74</v>
      </c>
      <c r="D423" s="61" t="s">
        <v>74</v>
      </c>
      <c r="E423" s="52" t="s">
        <v>74</v>
      </c>
      <c r="F423" s="52" t="s">
        <v>74</v>
      </c>
      <c r="G423" s="52" t="s">
        <v>74</v>
      </c>
      <c r="H423" s="44" t="s">
        <v>74</v>
      </c>
      <c r="I423" s="44" t="s">
        <v>74</v>
      </c>
      <c r="J423" s="44" t="s">
        <v>74</v>
      </c>
      <c r="K423" s="44" t="s">
        <v>74</v>
      </c>
      <c r="L423" s="44" t="s">
        <v>74</v>
      </c>
      <c r="M423" s="44" t="s">
        <v>74</v>
      </c>
      <c r="N423" s="44" t="s">
        <v>74</v>
      </c>
      <c r="O423" s="44" t="s">
        <v>74</v>
      </c>
      <c r="P423" s="44" t="s">
        <v>74</v>
      </c>
      <c r="Q423" s="44" t="s">
        <v>74</v>
      </c>
      <c r="R423" s="44" t="s">
        <v>74</v>
      </c>
      <c r="S423" s="44" t="s">
        <v>74</v>
      </c>
      <c r="T423" s="44" t="s">
        <v>74</v>
      </c>
      <c r="U423" s="44" t="s">
        <v>74</v>
      </c>
      <c r="V423" s="44" t="s">
        <v>74</v>
      </c>
      <c r="W423" s="44" t="s">
        <v>74</v>
      </c>
      <c r="X423" s="44" t="s">
        <v>74</v>
      </c>
      <c r="Y423" s="44" t="s">
        <v>74</v>
      </c>
      <c r="Z423" s="44" t="s">
        <v>74</v>
      </c>
      <c r="AA423" s="44" t="s">
        <v>74</v>
      </c>
      <c r="AB423" s="44" t="s">
        <v>74</v>
      </c>
      <c r="AC423" s="44" t="s">
        <v>74</v>
      </c>
      <c r="AD423" s="44" t="s">
        <v>74</v>
      </c>
      <c r="AE423" s="44" t="s">
        <v>74</v>
      </c>
      <c r="AF423" s="44" t="s">
        <v>74</v>
      </c>
      <c r="AG423" s="44" t="s">
        <v>74</v>
      </c>
      <c r="AH423" s="44" t="s">
        <v>74</v>
      </c>
      <c r="AI423" s="44" t="s">
        <v>74</v>
      </c>
      <c r="AJ423" s="44" t="s">
        <v>74</v>
      </c>
      <c r="AK423" s="44" t="s">
        <v>74</v>
      </c>
      <c r="AL423" s="44" t="s">
        <v>74</v>
      </c>
      <c r="AM423" s="44" t="s">
        <v>74</v>
      </c>
      <c r="AN423" s="44" t="s">
        <v>74</v>
      </c>
      <c r="AO423" s="44" t="s">
        <v>74</v>
      </c>
      <c r="AP423" s="44" t="s">
        <v>74</v>
      </c>
      <c r="AQ423" s="44" t="s">
        <v>74</v>
      </c>
      <c r="AR423" s="44" t="s">
        <v>74</v>
      </c>
      <c r="AS423" s="44" t="s">
        <v>74</v>
      </c>
      <c r="AT423" s="44" t="s">
        <v>74</v>
      </c>
      <c r="AU423" s="44" t="s">
        <v>74</v>
      </c>
      <c r="AV423" s="44" t="s">
        <v>74</v>
      </c>
      <c r="AW423" s="44" t="s">
        <v>74</v>
      </c>
      <c r="AX423" s="62" t="s">
        <v>74</v>
      </c>
      <c r="AY423" s="62" t="s">
        <v>74</v>
      </c>
      <c r="AZ423" s="62" t="s">
        <v>74</v>
      </c>
      <c r="BA423" s="62" t="s">
        <v>74</v>
      </c>
      <c r="BB423" s="62" t="s">
        <v>74</v>
      </c>
      <c r="BC423" s="62" t="s">
        <v>74</v>
      </c>
      <c r="BD423" s="62" t="s">
        <v>74</v>
      </c>
      <c r="BE423" s="44" t="s">
        <v>74</v>
      </c>
      <c r="BF423" s="44" t="s">
        <v>74</v>
      </c>
      <c r="BG423" s="62" t="s">
        <v>74</v>
      </c>
      <c r="BH423" s="62" t="s">
        <v>74</v>
      </c>
      <c r="BI423" s="44" t="s">
        <v>74</v>
      </c>
      <c r="BJ423" s="44" t="s">
        <v>74</v>
      </c>
      <c r="BK423" s="44" t="s">
        <v>74</v>
      </c>
      <c r="BL423" s="45" t="s">
        <v>74</v>
      </c>
      <c r="BM423" s="45" t="s">
        <v>74</v>
      </c>
      <c r="BN423" s="44" t="s">
        <v>74</v>
      </c>
      <c r="BO423" s="62" t="s">
        <v>74</v>
      </c>
      <c r="BP423" s="62" t="s">
        <v>74</v>
      </c>
      <c r="BQ423" s="62" t="s">
        <v>74</v>
      </c>
      <c r="BR423" s="62" t="s">
        <v>74</v>
      </c>
      <c r="BS423" s="53" t="s">
        <v>74</v>
      </c>
      <c r="BT423" s="44" t="s">
        <v>74</v>
      </c>
      <c r="BU423" s="44" t="s">
        <v>74</v>
      </c>
      <c r="BV423" s="44" t="s">
        <v>74</v>
      </c>
      <c r="BW423" s="44" t="s">
        <v>74</v>
      </c>
      <c r="BX423" s="44" t="s">
        <v>74</v>
      </c>
      <c r="BY423" s="44" t="s">
        <v>74</v>
      </c>
    </row>
    <row r="424" spans="1:77">
      <c r="A424">
        <v>0</v>
      </c>
      <c r="B424" s="60" t="s">
        <v>74</v>
      </c>
      <c r="C424" s="60" t="s">
        <v>74</v>
      </c>
      <c r="D424" s="61" t="s">
        <v>74</v>
      </c>
      <c r="E424" s="52" t="s">
        <v>74</v>
      </c>
      <c r="F424" s="52" t="s">
        <v>74</v>
      </c>
      <c r="G424" s="52" t="s">
        <v>74</v>
      </c>
      <c r="H424" s="44" t="s">
        <v>74</v>
      </c>
      <c r="I424" s="44" t="s">
        <v>74</v>
      </c>
      <c r="J424" s="44" t="s">
        <v>74</v>
      </c>
      <c r="K424" s="44" t="s">
        <v>74</v>
      </c>
      <c r="L424" s="44" t="s">
        <v>74</v>
      </c>
      <c r="M424" s="44" t="s">
        <v>74</v>
      </c>
      <c r="N424" s="44" t="s">
        <v>74</v>
      </c>
      <c r="O424" s="44" t="s">
        <v>74</v>
      </c>
      <c r="P424" s="44" t="s">
        <v>74</v>
      </c>
      <c r="Q424" s="44" t="s">
        <v>74</v>
      </c>
      <c r="R424" s="44" t="s">
        <v>74</v>
      </c>
      <c r="S424" s="44" t="s">
        <v>74</v>
      </c>
      <c r="T424" s="44" t="s">
        <v>74</v>
      </c>
      <c r="U424" s="44" t="s">
        <v>74</v>
      </c>
      <c r="V424" s="44" t="s">
        <v>74</v>
      </c>
      <c r="W424" s="44" t="s">
        <v>74</v>
      </c>
      <c r="X424" s="44" t="s">
        <v>74</v>
      </c>
      <c r="Y424" s="44" t="s">
        <v>74</v>
      </c>
      <c r="Z424" s="44" t="s">
        <v>74</v>
      </c>
      <c r="AA424" s="44" t="s">
        <v>74</v>
      </c>
      <c r="AB424" s="44" t="s">
        <v>74</v>
      </c>
      <c r="AC424" s="44" t="s">
        <v>74</v>
      </c>
      <c r="AD424" s="44" t="s">
        <v>74</v>
      </c>
      <c r="AE424" s="44" t="s">
        <v>74</v>
      </c>
      <c r="AF424" s="44" t="s">
        <v>74</v>
      </c>
      <c r="AG424" s="44" t="s">
        <v>74</v>
      </c>
      <c r="AH424" s="44" t="s">
        <v>74</v>
      </c>
      <c r="AI424" s="44" t="s">
        <v>74</v>
      </c>
      <c r="AJ424" s="44" t="s">
        <v>74</v>
      </c>
      <c r="AK424" s="44" t="s">
        <v>74</v>
      </c>
      <c r="AL424" s="44" t="s">
        <v>74</v>
      </c>
      <c r="AM424" s="44" t="s">
        <v>74</v>
      </c>
      <c r="AN424" s="44" t="s">
        <v>74</v>
      </c>
      <c r="AO424" s="44" t="s">
        <v>74</v>
      </c>
      <c r="AP424" s="44" t="s">
        <v>74</v>
      </c>
      <c r="AQ424" s="44" t="s">
        <v>74</v>
      </c>
      <c r="AR424" s="44" t="s">
        <v>74</v>
      </c>
      <c r="AS424" s="44" t="s">
        <v>74</v>
      </c>
      <c r="AT424" s="44" t="s">
        <v>74</v>
      </c>
      <c r="AU424" s="44" t="s">
        <v>74</v>
      </c>
      <c r="AV424" s="44" t="s">
        <v>74</v>
      </c>
      <c r="AW424" s="44" t="s">
        <v>74</v>
      </c>
      <c r="AX424" s="62" t="s">
        <v>74</v>
      </c>
      <c r="AY424" s="62" t="s">
        <v>74</v>
      </c>
      <c r="AZ424" s="62" t="s">
        <v>74</v>
      </c>
      <c r="BA424" s="62" t="s">
        <v>74</v>
      </c>
      <c r="BB424" s="62" t="s">
        <v>74</v>
      </c>
      <c r="BC424" s="62" t="s">
        <v>74</v>
      </c>
      <c r="BD424" s="62" t="s">
        <v>74</v>
      </c>
      <c r="BE424" s="44" t="s">
        <v>74</v>
      </c>
      <c r="BF424" s="44" t="s">
        <v>74</v>
      </c>
      <c r="BG424" s="62" t="s">
        <v>74</v>
      </c>
      <c r="BH424" s="62" t="s">
        <v>74</v>
      </c>
      <c r="BI424" s="44" t="s">
        <v>74</v>
      </c>
      <c r="BJ424" s="44" t="s">
        <v>74</v>
      </c>
      <c r="BK424" s="44" t="s">
        <v>74</v>
      </c>
      <c r="BL424" s="45" t="s">
        <v>74</v>
      </c>
      <c r="BM424" s="45" t="s">
        <v>74</v>
      </c>
      <c r="BN424" s="44" t="s">
        <v>74</v>
      </c>
      <c r="BO424" s="62" t="s">
        <v>74</v>
      </c>
      <c r="BP424" s="62" t="s">
        <v>74</v>
      </c>
      <c r="BQ424" s="62" t="s">
        <v>74</v>
      </c>
      <c r="BR424" s="62" t="s">
        <v>74</v>
      </c>
      <c r="BS424" s="53" t="s">
        <v>74</v>
      </c>
      <c r="BT424" s="44" t="s">
        <v>74</v>
      </c>
      <c r="BU424" s="44" t="s">
        <v>74</v>
      </c>
      <c r="BV424" s="44" t="s">
        <v>74</v>
      </c>
      <c r="BW424" s="44" t="s">
        <v>74</v>
      </c>
      <c r="BX424" s="44" t="s">
        <v>74</v>
      </c>
      <c r="BY424" s="44" t="s">
        <v>74</v>
      </c>
    </row>
    <row r="425" spans="1:77">
      <c r="A425">
        <v>0</v>
      </c>
      <c r="B425" s="60" t="s">
        <v>74</v>
      </c>
      <c r="C425" s="60" t="s">
        <v>74</v>
      </c>
      <c r="D425" s="61" t="s">
        <v>74</v>
      </c>
      <c r="E425" s="52" t="s">
        <v>74</v>
      </c>
      <c r="F425" s="52" t="s">
        <v>74</v>
      </c>
      <c r="G425" s="52" t="s">
        <v>74</v>
      </c>
      <c r="H425" s="44" t="s">
        <v>74</v>
      </c>
      <c r="I425" s="44" t="s">
        <v>74</v>
      </c>
      <c r="J425" s="44" t="s">
        <v>74</v>
      </c>
      <c r="K425" s="44" t="s">
        <v>74</v>
      </c>
      <c r="L425" s="44" t="s">
        <v>74</v>
      </c>
      <c r="M425" s="44" t="s">
        <v>74</v>
      </c>
      <c r="N425" s="44" t="s">
        <v>74</v>
      </c>
      <c r="O425" s="44" t="s">
        <v>74</v>
      </c>
      <c r="P425" s="44" t="s">
        <v>74</v>
      </c>
      <c r="Q425" s="44" t="s">
        <v>74</v>
      </c>
      <c r="R425" s="44" t="s">
        <v>74</v>
      </c>
      <c r="S425" s="44" t="s">
        <v>74</v>
      </c>
      <c r="T425" s="44" t="s">
        <v>74</v>
      </c>
      <c r="U425" s="44" t="s">
        <v>74</v>
      </c>
      <c r="V425" s="44" t="s">
        <v>74</v>
      </c>
      <c r="W425" s="44" t="s">
        <v>74</v>
      </c>
      <c r="X425" s="44" t="s">
        <v>74</v>
      </c>
      <c r="Y425" s="44" t="s">
        <v>74</v>
      </c>
      <c r="Z425" s="44" t="s">
        <v>74</v>
      </c>
      <c r="AA425" s="44" t="s">
        <v>74</v>
      </c>
      <c r="AB425" s="44" t="s">
        <v>74</v>
      </c>
      <c r="AC425" s="44" t="s">
        <v>74</v>
      </c>
      <c r="AD425" s="44" t="s">
        <v>74</v>
      </c>
      <c r="AE425" s="44" t="s">
        <v>74</v>
      </c>
      <c r="AF425" s="44" t="s">
        <v>74</v>
      </c>
      <c r="AG425" s="44" t="s">
        <v>74</v>
      </c>
      <c r="AH425" s="44" t="s">
        <v>74</v>
      </c>
      <c r="AI425" s="44" t="s">
        <v>74</v>
      </c>
      <c r="AJ425" s="44" t="s">
        <v>74</v>
      </c>
      <c r="AK425" s="44" t="s">
        <v>74</v>
      </c>
      <c r="AL425" s="44" t="s">
        <v>74</v>
      </c>
      <c r="AM425" s="44" t="s">
        <v>74</v>
      </c>
      <c r="AN425" s="44" t="s">
        <v>74</v>
      </c>
      <c r="AO425" s="44" t="s">
        <v>74</v>
      </c>
      <c r="AP425" s="44" t="s">
        <v>74</v>
      </c>
      <c r="AQ425" s="44" t="s">
        <v>74</v>
      </c>
      <c r="AR425" s="44" t="s">
        <v>74</v>
      </c>
      <c r="AS425" s="44" t="s">
        <v>74</v>
      </c>
      <c r="AT425" s="44" t="s">
        <v>74</v>
      </c>
      <c r="AU425" s="44" t="s">
        <v>74</v>
      </c>
      <c r="AV425" s="44" t="s">
        <v>74</v>
      </c>
      <c r="AW425" s="44" t="s">
        <v>74</v>
      </c>
      <c r="AX425" s="62" t="s">
        <v>74</v>
      </c>
      <c r="AY425" s="62" t="s">
        <v>74</v>
      </c>
      <c r="AZ425" s="62" t="s">
        <v>74</v>
      </c>
      <c r="BA425" s="62" t="s">
        <v>74</v>
      </c>
      <c r="BB425" s="62" t="s">
        <v>74</v>
      </c>
      <c r="BC425" s="62" t="s">
        <v>74</v>
      </c>
      <c r="BD425" s="62" t="s">
        <v>74</v>
      </c>
      <c r="BE425" s="44" t="s">
        <v>74</v>
      </c>
      <c r="BF425" s="44" t="s">
        <v>74</v>
      </c>
      <c r="BG425" s="62" t="s">
        <v>74</v>
      </c>
      <c r="BH425" s="62" t="s">
        <v>74</v>
      </c>
      <c r="BI425" s="44" t="s">
        <v>74</v>
      </c>
      <c r="BJ425" s="44" t="s">
        <v>74</v>
      </c>
      <c r="BK425" s="44" t="s">
        <v>74</v>
      </c>
      <c r="BL425" s="45" t="s">
        <v>74</v>
      </c>
      <c r="BM425" s="45" t="s">
        <v>74</v>
      </c>
      <c r="BN425" s="44" t="s">
        <v>74</v>
      </c>
      <c r="BO425" s="62" t="s">
        <v>74</v>
      </c>
      <c r="BP425" s="62" t="s">
        <v>74</v>
      </c>
      <c r="BQ425" s="62" t="s">
        <v>74</v>
      </c>
      <c r="BR425" s="62" t="s">
        <v>74</v>
      </c>
      <c r="BS425" s="53" t="s">
        <v>74</v>
      </c>
      <c r="BT425" s="44" t="s">
        <v>74</v>
      </c>
      <c r="BU425" s="44" t="s">
        <v>74</v>
      </c>
      <c r="BV425" s="44" t="s">
        <v>74</v>
      </c>
      <c r="BW425" s="44" t="s">
        <v>74</v>
      </c>
      <c r="BX425" s="44" t="s">
        <v>74</v>
      </c>
      <c r="BY425" s="44" t="s">
        <v>74</v>
      </c>
    </row>
    <row r="426" spans="1:77">
      <c r="A426">
        <v>0</v>
      </c>
      <c r="B426" s="60" t="s">
        <v>74</v>
      </c>
      <c r="C426" s="60" t="s">
        <v>74</v>
      </c>
      <c r="D426" s="61" t="s">
        <v>74</v>
      </c>
      <c r="E426" s="52" t="s">
        <v>74</v>
      </c>
      <c r="F426" s="52" t="s">
        <v>74</v>
      </c>
      <c r="G426" s="52" t="s">
        <v>74</v>
      </c>
      <c r="H426" s="44" t="s">
        <v>74</v>
      </c>
      <c r="I426" s="44" t="s">
        <v>74</v>
      </c>
      <c r="J426" s="44" t="s">
        <v>74</v>
      </c>
      <c r="K426" s="44" t="s">
        <v>74</v>
      </c>
      <c r="L426" s="44" t="s">
        <v>74</v>
      </c>
      <c r="M426" s="44" t="s">
        <v>74</v>
      </c>
      <c r="N426" s="44" t="s">
        <v>74</v>
      </c>
      <c r="O426" s="44" t="s">
        <v>74</v>
      </c>
      <c r="P426" s="44" t="s">
        <v>74</v>
      </c>
      <c r="Q426" s="44" t="s">
        <v>74</v>
      </c>
      <c r="R426" s="44" t="s">
        <v>74</v>
      </c>
      <c r="S426" s="44" t="s">
        <v>74</v>
      </c>
      <c r="T426" s="44" t="s">
        <v>74</v>
      </c>
      <c r="U426" s="44" t="s">
        <v>74</v>
      </c>
      <c r="V426" s="44" t="s">
        <v>74</v>
      </c>
      <c r="W426" s="44" t="s">
        <v>74</v>
      </c>
      <c r="X426" s="44" t="s">
        <v>74</v>
      </c>
      <c r="Y426" s="44" t="s">
        <v>74</v>
      </c>
      <c r="Z426" s="44" t="s">
        <v>74</v>
      </c>
      <c r="AA426" s="44" t="s">
        <v>74</v>
      </c>
      <c r="AB426" s="44" t="s">
        <v>74</v>
      </c>
      <c r="AC426" s="44" t="s">
        <v>74</v>
      </c>
      <c r="AD426" s="44" t="s">
        <v>74</v>
      </c>
      <c r="AE426" s="44" t="s">
        <v>74</v>
      </c>
      <c r="AF426" s="44" t="s">
        <v>74</v>
      </c>
      <c r="AG426" s="44" t="s">
        <v>74</v>
      </c>
      <c r="AH426" s="44" t="s">
        <v>74</v>
      </c>
      <c r="AI426" s="44" t="s">
        <v>74</v>
      </c>
      <c r="AJ426" s="44" t="s">
        <v>74</v>
      </c>
      <c r="AK426" s="44" t="s">
        <v>74</v>
      </c>
      <c r="AL426" s="44" t="s">
        <v>74</v>
      </c>
      <c r="AM426" s="44" t="s">
        <v>74</v>
      </c>
      <c r="AN426" s="44" t="s">
        <v>74</v>
      </c>
      <c r="AO426" s="44" t="s">
        <v>74</v>
      </c>
      <c r="AP426" s="44" t="s">
        <v>74</v>
      </c>
      <c r="AQ426" s="44" t="s">
        <v>74</v>
      </c>
      <c r="AR426" s="44" t="s">
        <v>74</v>
      </c>
      <c r="AS426" s="44" t="s">
        <v>74</v>
      </c>
      <c r="AT426" s="44" t="s">
        <v>74</v>
      </c>
      <c r="AU426" s="44" t="s">
        <v>74</v>
      </c>
      <c r="AV426" s="44" t="s">
        <v>74</v>
      </c>
      <c r="AW426" s="44" t="s">
        <v>74</v>
      </c>
      <c r="AX426" s="62" t="s">
        <v>74</v>
      </c>
      <c r="AY426" s="62" t="s">
        <v>74</v>
      </c>
      <c r="AZ426" s="62" t="s">
        <v>74</v>
      </c>
      <c r="BA426" s="62" t="s">
        <v>74</v>
      </c>
      <c r="BB426" s="62" t="s">
        <v>74</v>
      </c>
      <c r="BC426" s="62" t="s">
        <v>74</v>
      </c>
      <c r="BD426" s="62" t="s">
        <v>74</v>
      </c>
      <c r="BE426" s="44" t="s">
        <v>74</v>
      </c>
      <c r="BF426" s="44" t="s">
        <v>74</v>
      </c>
      <c r="BG426" s="62" t="s">
        <v>74</v>
      </c>
      <c r="BH426" s="62" t="s">
        <v>74</v>
      </c>
      <c r="BI426" s="44" t="s">
        <v>74</v>
      </c>
      <c r="BJ426" s="44" t="s">
        <v>74</v>
      </c>
      <c r="BK426" s="44" t="s">
        <v>74</v>
      </c>
      <c r="BL426" s="45" t="s">
        <v>74</v>
      </c>
      <c r="BM426" s="45" t="s">
        <v>74</v>
      </c>
      <c r="BN426" s="44" t="s">
        <v>74</v>
      </c>
      <c r="BO426" s="62" t="s">
        <v>74</v>
      </c>
      <c r="BP426" s="62" t="s">
        <v>74</v>
      </c>
      <c r="BQ426" s="62" t="s">
        <v>74</v>
      </c>
      <c r="BR426" s="62" t="s">
        <v>74</v>
      </c>
      <c r="BS426" s="53" t="s">
        <v>74</v>
      </c>
      <c r="BT426" s="44" t="s">
        <v>74</v>
      </c>
      <c r="BU426" s="44" t="s">
        <v>74</v>
      </c>
      <c r="BV426" s="44" t="s">
        <v>74</v>
      </c>
      <c r="BW426" s="44" t="s">
        <v>74</v>
      </c>
      <c r="BX426" s="44" t="s">
        <v>74</v>
      </c>
      <c r="BY426" s="44" t="s">
        <v>74</v>
      </c>
    </row>
    <row r="427" spans="1:77">
      <c r="A427">
        <v>0</v>
      </c>
      <c r="B427" s="60" t="s">
        <v>74</v>
      </c>
      <c r="C427" s="60" t="s">
        <v>74</v>
      </c>
      <c r="D427" s="61" t="s">
        <v>74</v>
      </c>
      <c r="E427" s="52" t="s">
        <v>74</v>
      </c>
      <c r="F427" s="52" t="s">
        <v>74</v>
      </c>
      <c r="G427" s="52" t="s">
        <v>74</v>
      </c>
      <c r="H427" s="44" t="s">
        <v>74</v>
      </c>
      <c r="I427" s="44" t="s">
        <v>74</v>
      </c>
      <c r="J427" s="44" t="s">
        <v>74</v>
      </c>
      <c r="K427" s="44" t="s">
        <v>74</v>
      </c>
      <c r="L427" s="44" t="s">
        <v>74</v>
      </c>
      <c r="M427" s="44" t="s">
        <v>74</v>
      </c>
      <c r="N427" s="44" t="s">
        <v>74</v>
      </c>
      <c r="O427" s="44" t="s">
        <v>74</v>
      </c>
      <c r="P427" s="44" t="s">
        <v>74</v>
      </c>
      <c r="Q427" s="44" t="s">
        <v>74</v>
      </c>
      <c r="R427" s="44" t="s">
        <v>74</v>
      </c>
      <c r="S427" s="44" t="s">
        <v>74</v>
      </c>
      <c r="T427" s="44" t="s">
        <v>74</v>
      </c>
      <c r="U427" s="44" t="s">
        <v>74</v>
      </c>
      <c r="V427" s="44" t="s">
        <v>74</v>
      </c>
      <c r="W427" s="44" t="s">
        <v>74</v>
      </c>
      <c r="X427" s="44" t="s">
        <v>74</v>
      </c>
      <c r="Y427" s="44" t="s">
        <v>74</v>
      </c>
      <c r="Z427" s="44" t="s">
        <v>74</v>
      </c>
      <c r="AA427" s="44" t="s">
        <v>74</v>
      </c>
      <c r="AB427" s="44" t="s">
        <v>74</v>
      </c>
      <c r="AC427" s="44" t="s">
        <v>74</v>
      </c>
      <c r="AD427" s="44" t="s">
        <v>74</v>
      </c>
      <c r="AE427" s="44" t="s">
        <v>74</v>
      </c>
      <c r="AF427" s="44" t="s">
        <v>74</v>
      </c>
      <c r="AG427" s="44" t="s">
        <v>74</v>
      </c>
      <c r="AH427" s="44" t="s">
        <v>74</v>
      </c>
      <c r="AI427" s="44" t="s">
        <v>74</v>
      </c>
      <c r="AJ427" s="44" t="s">
        <v>74</v>
      </c>
      <c r="AK427" s="44" t="s">
        <v>74</v>
      </c>
      <c r="AL427" s="44" t="s">
        <v>74</v>
      </c>
      <c r="AM427" s="44" t="s">
        <v>74</v>
      </c>
      <c r="AN427" s="44" t="s">
        <v>74</v>
      </c>
      <c r="AO427" s="44" t="s">
        <v>74</v>
      </c>
      <c r="AP427" s="44" t="s">
        <v>74</v>
      </c>
      <c r="AQ427" s="44" t="s">
        <v>74</v>
      </c>
      <c r="AR427" s="44" t="s">
        <v>74</v>
      </c>
      <c r="AS427" s="44" t="s">
        <v>74</v>
      </c>
      <c r="AT427" s="44" t="s">
        <v>74</v>
      </c>
      <c r="AU427" s="44" t="s">
        <v>74</v>
      </c>
      <c r="AV427" s="44" t="s">
        <v>74</v>
      </c>
      <c r="AW427" s="44" t="s">
        <v>74</v>
      </c>
      <c r="AX427" s="62" t="s">
        <v>74</v>
      </c>
      <c r="AY427" s="62" t="s">
        <v>74</v>
      </c>
      <c r="AZ427" s="62" t="s">
        <v>74</v>
      </c>
      <c r="BA427" s="62" t="s">
        <v>74</v>
      </c>
      <c r="BB427" s="62" t="s">
        <v>74</v>
      </c>
      <c r="BC427" s="62" t="s">
        <v>74</v>
      </c>
      <c r="BD427" s="62" t="s">
        <v>74</v>
      </c>
      <c r="BE427" s="44" t="s">
        <v>74</v>
      </c>
      <c r="BF427" s="44" t="s">
        <v>74</v>
      </c>
      <c r="BG427" s="62" t="s">
        <v>74</v>
      </c>
      <c r="BH427" s="62" t="s">
        <v>74</v>
      </c>
      <c r="BI427" s="44" t="s">
        <v>74</v>
      </c>
      <c r="BJ427" s="44" t="s">
        <v>74</v>
      </c>
      <c r="BK427" s="44" t="s">
        <v>74</v>
      </c>
      <c r="BL427" s="45" t="s">
        <v>74</v>
      </c>
      <c r="BM427" s="45" t="s">
        <v>74</v>
      </c>
      <c r="BN427" s="44" t="s">
        <v>74</v>
      </c>
      <c r="BO427" s="62" t="s">
        <v>74</v>
      </c>
      <c r="BP427" s="62" t="s">
        <v>74</v>
      </c>
      <c r="BQ427" s="62" t="s">
        <v>74</v>
      </c>
      <c r="BR427" s="62" t="s">
        <v>74</v>
      </c>
      <c r="BS427" s="53" t="s">
        <v>74</v>
      </c>
      <c r="BT427" s="44" t="s">
        <v>74</v>
      </c>
      <c r="BU427" s="44" t="s">
        <v>74</v>
      </c>
      <c r="BV427" s="44" t="s">
        <v>74</v>
      </c>
      <c r="BW427" s="44" t="s">
        <v>74</v>
      </c>
      <c r="BX427" s="44" t="s">
        <v>74</v>
      </c>
      <c r="BY427" s="44" t="s">
        <v>74</v>
      </c>
    </row>
    <row r="428" spans="1:77">
      <c r="A428">
        <v>0</v>
      </c>
      <c r="B428" s="60" t="s">
        <v>74</v>
      </c>
      <c r="C428" s="60" t="s">
        <v>74</v>
      </c>
      <c r="D428" s="61" t="s">
        <v>74</v>
      </c>
      <c r="E428" s="52" t="s">
        <v>74</v>
      </c>
      <c r="F428" s="52" t="s">
        <v>74</v>
      </c>
      <c r="G428" s="52" t="s">
        <v>74</v>
      </c>
      <c r="H428" s="44" t="s">
        <v>74</v>
      </c>
      <c r="I428" s="44" t="s">
        <v>74</v>
      </c>
      <c r="J428" s="44" t="s">
        <v>74</v>
      </c>
      <c r="K428" s="44" t="s">
        <v>74</v>
      </c>
      <c r="L428" s="44" t="s">
        <v>74</v>
      </c>
      <c r="M428" s="44" t="s">
        <v>74</v>
      </c>
      <c r="N428" s="44" t="s">
        <v>74</v>
      </c>
      <c r="O428" s="44" t="s">
        <v>74</v>
      </c>
      <c r="P428" s="44" t="s">
        <v>74</v>
      </c>
      <c r="Q428" s="44" t="s">
        <v>74</v>
      </c>
      <c r="R428" s="44" t="s">
        <v>74</v>
      </c>
      <c r="S428" s="44" t="s">
        <v>74</v>
      </c>
      <c r="T428" s="44" t="s">
        <v>74</v>
      </c>
      <c r="U428" s="44" t="s">
        <v>74</v>
      </c>
      <c r="V428" s="44" t="s">
        <v>74</v>
      </c>
      <c r="W428" s="44" t="s">
        <v>74</v>
      </c>
      <c r="X428" s="44" t="s">
        <v>74</v>
      </c>
      <c r="Y428" s="44" t="s">
        <v>74</v>
      </c>
      <c r="Z428" s="44" t="s">
        <v>74</v>
      </c>
      <c r="AA428" s="44" t="s">
        <v>74</v>
      </c>
      <c r="AB428" s="44" t="s">
        <v>74</v>
      </c>
      <c r="AC428" s="44" t="s">
        <v>74</v>
      </c>
      <c r="AD428" s="44" t="s">
        <v>74</v>
      </c>
      <c r="AE428" s="44" t="s">
        <v>74</v>
      </c>
      <c r="AF428" s="44" t="s">
        <v>74</v>
      </c>
      <c r="AG428" s="44" t="s">
        <v>74</v>
      </c>
      <c r="AH428" s="44" t="s">
        <v>74</v>
      </c>
      <c r="AI428" s="44" t="s">
        <v>74</v>
      </c>
      <c r="AJ428" s="44" t="s">
        <v>74</v>
      </c>
      <c r="AK428" s="44" t="s">
        <v>74</v>
      </c>
      <c r="AL428" s="44" t="s">
        <v>74</v>
      </c>
      <c r="AM428" s="44" t="s">
        <v>74</v>
      </c>
      <c r="AN428" s="44" t="s">
        <v>74</v>
      </c>
      <c r="AO428" s="44" t="s">
        <v>74</v>
      </c>
      <c r="AP428" s="44" t="s">
        <v>74</v>
      </c>
      <c r="AQ428" s="44" t="s">
        <v>74</v>
      </c>
      <c r="AR428" s="44" t="s">
        <v>74</v>
      </c>
      <c r="AS428" s="44" t="s">
        <v>74</v>
      </c>
      <c r="AT428" s="44" t="s">
        <v>74</v>
      </c>
      <c r="AU428" s="44" t="s">
        <v>74</v>
      </c>
      <c r="AV428" s="44" t="s">
        <v>74</v>
      </c>
      <c r="AW428" s="44" t="s">
        <v>74</v>
      </c>
      <c r="AX428" s="62" t="s">
        <v>74</v>
      </c>
      <c r="AY428" s="62" t="s">
        <v>74</v>
      </c>
      <c r="AZ428" s="62" t="s">
        <v>74</v>
      </c>
      <c r="BA428" s="62" t="s">
        <v>74</v>
      </c>
      <c r="BB428" s="62" t="s">
        <v>74</v>
      </c>
      <c r="BC428" s="62" t="s">
        <v>74</v>
      </c>
      <c r="BD428" s="62" t="s">
        <v>74</v>
      </c>
      <c r="BE428" s="44" t="s">
        <v>74</v>
      </c>
      <c r="BF428" s="44" t="s">
        <v>74</v>
      </c>
      <c r="BG428" s="62" t="s">
        <v>74</v>
      </c>
      <c r="BH428" s="62" t="s">
        <v>74</v>
      </c>
      <c r="BI428" s="44" t="s">
        <v>74</v>
      </c>
      <c r="BJ428" s="44" t="s">
        <v>74</v>
      </c>
      <c r="BK428" s="44" t="s">
        <v>74</v>
      </c>
      <c r="BL428" s="45" t="s">
        <v>74</v>
      </c>
      <c r="BM428" s="45" t="s">
        <v>74</v>
      </c>
      <c r="BN428" s="44" t="s">
        <v>74</v>
      </c>
      <c r="BO428" s="62" t="s">
        <v>74</v>
      </c>
      <c r="BP428" s="62" t="s">
        <v>74</v>
      </c>
      <c r="BQ428" s="62" t="s">
        <v>74</v>
      </c>
      <c r="BR428" s="62" t="s">
        <v>74</v>
      </c>
      <c r="BS428" s="53" t="s">
        <v>74</v>
      </c>
      <c r="BT428" s="44" t="s">
        <v>74</v>
      </c>
      <c r="BU428" s="44" t="s">
        <v>74</v>
      </c>
      <c r="BV428" s="44" t="s">
        <v>74</v>
      </c>
      <c r="BW428" s="44" t="s">
        <v>74</v>
      </c>
      <c r="BX428" s="44" t="s">
        <v>74</v>
      </c>
      <c r="BY428" s="44" t="s">
        <v>74</v>
      </c>
    </row>
    <row r="429" spans="1:77">
      <c r="A429">
        <v>0</v>
      </c>
      <c r="B429" s="60" t="s">
        <v>74</v>
      </c>
      <c r="C429" s="60" t="s">
        <v>74</v>
      </c>
      <c r="D429" s="61" t="s">
        <v>74</v>
      </c>
      <c r="E429" s="52" t="s">
        <v>74</v>
      </c>
      <c r="F429" s="52" t="s">
        <v>74</v>
      </c>
      <c r="G429" s="52" t="s">
        <v>74</v>
      </c>
      <c r="H429" s="44" t="s">
        <v>74</v>
      </c>
      <c r="I429" s="44" t="s">
        <v>74</v>
      </c>
      <c r="J429" s="44" t="s">
        <v>74</v>
      </c>
      <c r="K429" s="44" t="s">
        <v>74</v>
      </c>
      <c r="L429" s="44" t="s">
        <v>74</v>
      </c>
      <c r="M429" s="44" t="s">
        <v>74</v>
      </c>
      <c r="N429" s="44" t="s">
        <v>74</v>
      </c>
      <c r="O429" s="44" t="s">
        <v>74</v>
      </c>
      <c r="P429" s="44" t="s">
        <v>74</v>
      </c>
      <c r="Q429" s="44" t="s">
        <v>74</v>
      </c>
      <c r="R429" s="44" t="s">
        <v>74</v>
      </c>
      <c r="S429" s="44" t="s">
        <v>74</v>
      </c>
      <c r="T429" s="44" t="s">
        <v>74</v>
      </c>
      <c r="U429" s="44" t="s">
        <v>74</v>
      </c>
      <c r="V429" s="44" t="s">
        <v>74</v>
      </c>
      <c r="W429" s="44" t="s">
        <v>74</v>
      </c>
      <c r="X429" s="44" t="s">
        <v>74</v>
      </c>
      <c r="Y429" s="44" t="s">
        <v>74</v>
      </c>
      <c r="Z429" s="44" t="s">
        <v>74</v>
      </c>
      <c r="AA429" s="44" t="s">
        <v>74</v>
      </c>
      <c r="AB429" s="44" t="s">
        <v>74</v>
      </c>
      <c r="AC429" s="44" t="s">
        <v>74</v>
      </c>
      <c r="AD429" s="44" t="s">
        <v>74</v>
      </c>
      <c r="AE429" s="44" t="s">
        <v>74</v>
      </c>
      <c r="AF429" s="44" t="s">
        <v>74</v>
      </c>
      <c r="AG429" s="44" t="s">
        <v>74</v>
      </c>
      <c r="AH429" s="44" t="s">
        <v>74</v>
      </c>
      <c r="AI429" s="44" t="s">
        <v>74</v>
      </c>
      <c r="AJ429" s="44" t="s">
        <v>74</v>
      </c>
      <c r="AK429" s="44" t="s">
        <v>74</v>
      </c>
      <c r="AL429" s="44" t="s">
        <v>74</v>
      </c>
      <c r="AM429" s="44" t="s">
        <v>74</v>
      </c>
      <c r="AN429" s="44" t="s">
        <v>74</v>
      </c>
      <c r="AO429" s="44" t="s">
        <v>74</v>
      </c>
      <c r="AP429" s="44" t="s">
        <v>74</v>
      </c>
      <c r="AQ429" s="44" t="s">
        <v>74</v>
      </c>
      <c r="AR429" s="44" t="s">
        <v>74</v>
      </c>
      <c r="AS429" s="44" t="s">
        <v>74</v>
      </c>
      <c r="AT429" s="44" t="s">
        <v>74</v>
      </c>
      <c r="AU429" s="44" t="s">
        <v>74</v>
      </c>
      <c r="AV429" s="44" t="s">
        <v>74</v>
      </c>
      <c r="AW429" s="44" t="s">
        <v>74</v>
      </c>
      <c r="AX429" s="62" t="s">
        <v>74</v>
      </c>
      <c r="AY429" s="62" t="s">
        <v>74</v>
      </c>
      <c r="AZ429" s="62" t="s">
        <v>74</v>
      </c>
      <c r="BA429" s="62" t="s">
        <v>74</v>
      </c>
      <c r="BB429" s="62" t="s">
        <v>74</v>
      </c>
      <c r="BC429" s="62" t="s">
        <v>74</v>
      </c>
      <c r="BD429" s="62" t="s">
        <v>74</v>
      </c>
      <c r="BE429" s="44" t="s">
        <v>74</v>
      </c>
      <c r="BF429" s="44" t="s">
        <v>74</v>
      </c>
      <c r="BG429" s="62" t="s">
        <v>74</v>
      </c>
      <c r="BH429" s="62" t="s">
        <v>74</v>
      </c>
      <c r="BI429" s="44" t="s">
        <v>74</v>
      </c>
      <c r="BJ429" s="44" t="s">
        <v>74</v>
      </c>
      <c r="BK429" s="44" t="s">
        <v>74</v>
      </c>
      <c r="BL429" s="45" t="s">
        <v>74</v>
      </c>
      <c r="BM429" s="45" t="s">
        <v>74</v>
      </c>
      <c r="BN429" s="44" t="s">
        <v>74</v>
      </c>
      <c r="BO429" s="62" t="s">
        <v>74</v>
      </c>
      <c r="BP429" s="62" t="s">
        <v>74</v>
      </c>
      <c r="BQ429" s="62" t="s">
        <v>74</v>
      </c>
      <c r="BR429" s="62" t="s">
        <v>74</v>
      </c>
      <c r="BS429" s="53" t="s">
        <v>74</v>
      </c>
      <c r="BT429" s="44" t="s">
        <v>74</v>
      </c>
      <c r="BU429" s="44" t="s">
        <v>74</v>
      </c>
      <c r="BV429" s="44" t="s">
        <v>74</v>
      </c>
      <c r="BW429" s="44" t="s">
        <v>74</v>
      </c>
      <c r="BX429" s="44" t="s">
        <v>74</v>
      </c>
      <c r="BY429" s="44" t="s">
        <v>74</v>
      </c>
    </row>
    <row r="430" spans="1:77">
      <c r="A430">
        <v>0</v>
      </c>
      <c r="B430" s="60" t="s">
        <v>74</v>
      </c>
      <c r="C430" s="60" t="s">
        <v>74</v>
      </c>
      <c r="D430" s="61" t="s">
        <v>74</v>
      </c>
      <c r="E430" s="52" t="s">
        <v>74</v>
      </c>
      <c r="F430" s="52" t="s">
        <v>74</v>
      </c>
      <c r="G430" s="52" t="s">
        <v>74</v>
      </c>
      <c r="H430" s="44" t="s">
        <v>74</v>
      </c>
      <c r="I430" s="44" t="s">
        <v>74</v>
      </c>
      <c r="J430" s="44" t="s">
        <v>74</v>
      </c>
      <c r="K430" s="44" t="s">
        <v>74</v>
      </c>
      <c r="L430" s="44" t="s">
        <v>74</v>
      </c>
      <c r="M430" s="44" t="s">
        <v>74</v>
      </c>
      <c r="N430" s="44" t="s">
        <v>74</v>
      </c>
      <c r="O430" s="44" t="s">
        <v>74</v>
      </c>
      <c r="P430" s="44" t="s">
        <v>74</v>
      </c>
      <c r="Q430" s="44" t="s">
        <v>74</v>
      </c>
      <c r="R430" s="44" t="s">
        <v>74</v>
      </c>
      <c r="S430" s="44" t="s">
        <v>74</v>
      </c>
      <c r="T430" s="44" t="s">
        <v>74</v>
      </c>
      <c r="U430" s="44" t="s">
        <v>74</v>
      </c>
      <c r="V430" s="44" t="s">
        <v>74</v>
      </c>
      <c r="W430" s="44" t="s">
        <v>74</v>
      </c>
      <c r="X430" s="44" t="s">
        <v>74</v>
      </c>
      <c r="Y430" s="44" t="s">
        <v>74</v>
      </c>
      <c r="Z430" s="44" t="s">
        <v>74</v>
      </c>
      <c r="AA430" s="44" t="s">
        <v>74</v>
      </c>
      <c r="AB430" s="44" t="s">
        <v>74</v>
      </c>
      <c r="AC430" s="44" t="s">
        <v>74</v>
      </c>
      <c r="AD430" s="44" t="s">
        <v>74</v>
      </c>
      <c r="AE430" s="44" t="s">
        <v>74</v>
      </c>
      <c r="AF430" s="44" t="s">
        <v>74</v>
      </c>
      <c r="AG430" s="44" t="s">
        <v>74</v>
      </c>
      <c r="AH430" s="44" t="s">
        <v>74</v>
      </c>
      <c r="AI430" s="44" t="s">
        <v>74</v>
      </c>
      <c r="AJ430" s="44" t="s">
        <v>74</v>
      </c>
      <c r="AK430" s="44" t="s">
        <v>74</v>
      </c>
      <c r="AL430" s="44" t="s">
        <v>74</v>
      </c>
      <c r="AM430" s="44" t="s">
        <v>74</v>
      </c>
      <c r="AN430" s="44" t="s">
        <v>74</v>
      </c>
      <c r="AO430" s="44" t="s">
        <v>74</v>
      </c>
      <c r="AP430" s="44" t="s">
        <v>74</v>
      </c>
      <c r="AQ430" s="44" t="s">
        <v>74</v>
      </c>
      <c r="AR430" s="44" t="s">
        <v>74</v>
      </c>
      <c r="AS430" s="44" t="s">
        <v>74</v>
      </c>
      <c r="AT430" s="44" t="s">
        <v>74</v>
      </c>
      <c r="AU430" s="44" t="s">
        <v>74</v>
      </c>
      <c r="AV430" s="44" t="s">
        <v>74</v>
      </c>
      <c r="AW430" s="44" t="s">
        <v>74</v>
      </c>
      <c r="AX430" s="62" t="s">
        <v>74</v>
      </c>
      <c r="AY430" s="62" t="s">
        <v>74</v>
      </c>
      <c r="AZ430" s="62" t="s">
        <v>74</v>
      </c>
      <c r="BA430" s="62" t="s">
        <v>74</v>
      </c>
      <c r="BB430" s="62" t="s">
        <v>74</v>
      </c>
      <c r="BC430" s="62" t="s">
        <v>74</v>
      </c>
      <c r="BD430" s="62" t="s">
        <v>74</v>
      </c>
      <c r="BE430" s="44" t="s">
        <v>74</v>
      </c>
      <c r="BF430" s="44" t="s">
        <v>74</v>
      </c>
      <c r="BG430" s="62" t="s">
        <v>74</v>
      </c>
      <c r="BH430" s="62" t="s">
        <v>74</v>
      </c>
      <c r="BI430" s="44" t="s">
        <v>74</v>
      </c>
      <c r="BJ430" s="44" t="s">
        <v>74</v>
      </c>
      <c r="BK430" s="44" t="s">
        <v>74</v>
      </c>
      <c r="BL430" s="45" t="s">
        <v>74</v>
      </c>
      <c r="BM430" s="45" t="s">
        <v>74</v>
      </c>
      <c r="BN430" s="44" t="s">
        <v>74</v>
      </c>
      <c r="BO430" s="62" t="s">
        <v>74</v>
      </c>
      <c r="BP430" s="62" t="s">
        <v>74</v>
      </c>
      <c r="BQ430" s="62" t="s">
        <v>74</v>
      </c>
      <c r="BR430" s="62" t="s">
        <v>74</v>
      </c>
      <c r="BS430" s="53" t="s">
        <v>74</v>
      </c>
      <c r="BT430" s="44" t="s">
        <v>74</v>
      </c>
      <c r="BU430" s="44" t="s">
        <v>74</v>
      </c>
      <c r="BV430" s="44" t="s">
        <v>74</v>
      </c>
      <c r="BW430" s="44" t="s">
        <v>74</v>
      </c>
      <c r="BX430" s="44" t="s">
        <v>74</v>
      </c>
      <c r="BY430" s="44" t="s">
        <v>74</v>
      </c>
    </row>
    <row r="431" spans="1:77">
      <c r="A431">
        <v>0</v>
      </c>
      <c r="B431" s="60" t="s">
        <v>74</v>
      </c>
      <c r="C431" s="60" t="s">
        <v>74</v>
      </c>
      <c r="D431" s="61" t="s">
        <v>74</v>
      </c>
      <c r="E431" s="52" t="s">
        <v>74</v>
      </c>
      <c r="F431" s="52" t="s">
        <v>74</v>
      </c>
      <c r="G431" s="52" t="s">
        <v>74</v>
      </c>
      <c r="H431" s="44" t="s">
        <v>74</v>
      </c>
      <c r="I431" s="44" t="s">
        <v>74</v>
      </c>
      <c r="J431" s="44" t="s">
        <v>74</v>
      </c>
      <c r="K431" s="44" t="s">
        <v>74</v>
      </c>
      <c r="L431" s="44" t="s">
        <v>74</v>
      </c>
      <c r="M431" s="44" t="s">
        <v>74</v>
      </c>
      <c r="N431" s="44" t="s">
        <v>74</v>
      </c>
      <c r="O431" s="44" t="s">
        <v>74</v>
      </c>
      <c r="P431" s="44" t="s">
        <v>74</v>
      </c>
      <c r="Q431" s="44" t="s">
        <v>74</v>
      </c>
      <c r="R431" s="44" t="s">
        <v>74</v>
      </c>
      <c r="S431" s="44" t="s">
        <v>74</v>
      </c>
      <c r="T431" s="44" t="s">
        <v>74</v>
      </c>
      <c r="U431" s="44" t="s">
        <v>74</v>
      </c>
      <c r="V431" s="44" t="s">
        <v>74</v>
      </c>
      <c r="W431" s="44" t="s">
        <v>74</v>
      </c>
      <c r="X431" s="44" t="s">
        <v>74</v>
      </c>
      <c r="Y431" s="44" t="s">
        <v>74</v>
      </c>
      <c r="Z431" s="44" t="s">
        <v>74</v>
      </c>
      <c r="AA431" s="44" t="s">
        <v>74</v>
      </c>
      <c r="AB431" s="44" t="s">
        <v>74</v>
      </c>
      <c r="AC431" s="44" t="s">
        <v>74</v>
      </c>
      <c r="AD431" s="44" t="s">
        <v>74</v>
      </c>
      <c r="AE431" s="44" t="s">
        <v>74</v>
      </c>
      <c r="AF431" s="44" t="s">
        <v>74</v>
      </c>
      <c r="AG431" s="44" t="s">
        <v>74</v>
      </c>
      <c r="AH431" s="44" t="s">
        <v>74</v>
      </c>
      <c r="AI431" s="44" t="s">
        <v>74</v>
      </c>
      <c r="AJ431" s="44" t="s">
        <v>74</v>
      </c>
      <c r="AK431" s="44" t="s">
        <v>74</v>
      </c>
      <c r="AL431" s="44" t="s">
        <v>74</v>
      </c>
      <c r="AM431" s="44" t="s">
        <v>74</v>
      </c>
      <c r="AN431" s="44" t="s">
        <v>74</v>
      </c>
      <c r="AO431" s="44" t="s">
        <v>74</v>
      </c>
      <c r="AP431" s="44" t="s">
        <v>74</v>
      </c>
      <c r="AQ431" s="44" t="s">
        <v>74</v>
      </c>
      <c r="AR431" s="44" t="s">
        <v>74</v>
      </c>
      <c r="AS431" s="44" t="s">
        <v>74</v>
      </c>
      <c r="AT431" s="44" t="s">
        <v>74</v>
      </c>
      <c r="AU431" s="44" t="s">
        <v>74</v>
      </c>
      <c r="AV431" s="44" t="s">
        <v>74</v>
      </c>
      <c r="AW431" s="44" t="s">
        <v>74</v>
      </c>
      <c r="AX431" s="62" t="s">
        <v>74</v>
      </c>
      <c r="AY431" s="62" t="s">
        <v>74</v>
      </c>
      <c r="AZ431" s="62" t="s">
        <v>74</v>
      </c>
      <c r="BA431" s="62" t="s">
        <v>74</v>
      </c>
      <c r="BB431" s="62" t="s">
        <v>74</v>
      </c>
      <c r="BC431" s="62" t="s">
        <v>74</v>
      </c>
      <c r="BD431" s="62" t="s">
        <v>74</v>
      </c>
      <c r="BE431" s="44" t="s">
        <v>74</v>
      </c>
      <c r="BF431" s="44" t="s">
        <v>74</v>
      </c>
      <c r="BG431" s="62" t="s">
        <v>74</v>
      </c>
      <c r="BH431" s="62" t="s">
        <v>74</v>
      </c>
      <c r="BI431" s="44" t="s">
        <v>74</v>
      </c>
      <c r="BJ431" s="44" t="s">
        <v>74</v>
      </c>
      <c r="BK431" s="44" t="s">
        <v>74</v>
      </c>
      <c r="BL431" s="45" t="s">
        <v>74</v>
      </c>
      <c r="BM431" s="45" t="s">
        <v>74</v>
      </c>
      <c r="BN431" s="44" t="s">
        <v>74</v>
      </c>
      <c r="BO431" s="62" t="s">
        <v>74</v>
      </c>
      <c r="BP431" s="62" t="s">
        <v>74</v>
      </c>
      <c r="BQ431" s="62" t="s">
        <v>74</v>
      </c>
      <c r="BR431" s="62" t="s">
        <v>74</v>
      </c>
      <c r="BS431" s="53" t="s">
        <v>74</v>
      </c>
      <c r="BT431" s="44" t="s">
        <v>74</v>
      </c>
      <c r="BU431" s="44" t="s">
        <v>74</v>
      </c>
      <c r="BV431" s="44" t="s">
        <v>74</v>
      </c>
      <c r="BW431" s="44" t="s">
        <v>74</v>
      </c>
      <c r="BX431" s="44" t="s">
        <v>74</v>
      </c>
      <c r="BY431" s="44" t="s">
        <v>74</v>
      </c>
    </row>
    <row r="432" spans="1:77">
      <c r="A432">
        <v>0</v>
      </c>
      <c r="B432" s="60" t="s">
        <v>74</v>
      </c>
      <c r="C432" s="60" t="s">
        <v>74</v>
      </c>
      <c r="D432" s="61" t="s">
        <v>74</v>
      </c>
      <c r="E432" s="52" t="s">
        <v>74</v>
      </c>
      <c r="F432" s="52" t="s">
        <v>74</v>
      </c>
      <c r="G432" s="52" t="s">
        <v>74</v>
      </c>
      <c r="H432" s="44" t="s">
        <v>74</v>
      </c>
      <c r="I432" s="44" t="s">
        <v>74</v>
      </c>
      <c r="J432" s="44" t="s">
        <v>74</v>
      </c>
      <c r="K432" s="44" t="s">
        <v>74</v>
      </c>
      <c r="L432" s="44" t="s">
        <v>74</v>
      </c>
      <c r="M432" s="44" t="s">
        <v>74</v>
      </c>
      <c r="N432" s="44" t="s">
        <v>74</v>
      </c>
      <c r="O432" s="44" t="s">
        <v>74</v>
      </c>
      <c r="P432" s="44" t="s">
        <v>74</v>
      </c>
      <c r="Q432" s="44" t="s">
        <v>74</v>
      </c>
      <c r="R432" s="44" t="s">
        <v>74</v>
      </c>
      <c r="S432" s="44" t="s">
        <v>74</v>
      </c>
      <c r="T432" s="44" t="s">
        <v>74</v>
      </c>
      <c r="U432" s="44" t="s">
        <v>74</v>
      </c>
      <c r="V432" s="44" t="s">
        <v>74</v>
      </c>
      <c r="W432" s="44" t="s">
        <v>74</v>
      </c>
      <c r="X432" s="44" t="s">
        <v>74</v>
      </c>
      <c r="Y432" s="44" t="s">
        <v>74</v>
      </c>
      <c r="Z432" s="44" t="s">
        <v>74</v>
      </c>
      <c r="AA432" s="44" t="s">
        <v>74</v>
      </c>
      <c r="AB432" s="44" t="s">
        <v>74</v>
      </c>
      <c r="AC432" s="44" t="s">
        <v>74</v>
      </c>
      <c r="AD432" s="44" t="s">
        <v>74</v>
      </c>
      <c r="AE432" s="44" t="s">
        <v>74</v>
      </c>
      <c r="AF432" s="44" t="s">
        <v>74</v>
      </c>
      <c r="AG432" s="44" t="s">
        <v>74</v>
      </c>
      <c r="AH432" s="44" t="s">
        <v>74</v>
      </c>
      <c r="AI432" s="44" t="s">
        <v>74</v>
      </c>
      <c r="AJ432" s="44" t="s">
        <v>74</v>
      </c>
      <c r="AK432" s="44" t="s">
        <v>74</v>
      </c>
      <c r="AL432" s="44" t="s">
        <v>74</v>
      </c>
      <c r="AM432" s="44" t="s">
        <v>74</v>
      </c>
      <c r="AN432" s="44" t="s">
        <v>74</v>
      </c>
      <c r="AO432" s="44" t="s">
        <v>74</v>
      </c>
      <c r="AP432" s="44" t="s">
        <v>74</v>
      </c>
      <c r="AQ432" s="44" t="s">
        <v>74</v>
      </c>
      <c r="AR432" s="44" t="s">
        <v>74</v>
      </c>
      <c r="AS432" s="44" t="s">
        <v>74</v>
      </c>
      <c r="AT432" s="44" t="s">
        <v>74</v>
      </c>
      <c r="AU432" s="44" t="s">
        <v>74</v>
      </c>
      <c r="AV432" s="44" t="s">
        <v>74</v>
      </c>
      <c r="AW432" s="44" t="s">
        <v>74</v>
      </c>
      <c r="AX432" s="62" t="s">
        <v>74</v>
      </c>
      <c r="AY432" s="62" t="s">
        <v>74</v>
      </c>
      <c r="AZ432" s="62" t="s">
        <v>74</v>
      </c>
      <c r="BA432" s="62" t="s">
        <v>74</v>
      </c>
      <c r="BB432" s="62" t="s">
        <v>74</v>
      </c>
      <c r="BC432" s="62" t="s">
        <v>74</v>
      </c>
      <c r="BD432" s="62" t="s">
        <v>74</v>
      </c>
      <c r="BE432" s="44" t="s">
        <v>74</v>
      </c>
      <c r="BF432" s="44" t="s">
        <v>74</v>
      </c>
      <c r="BG432" s="62" t="s">
        <v>74</v>
      </c>
      <c r="BH432" s="62" t="s">
        <v>74</v>
      </c>
      <c r="BI432" s="44" t="s">
        <v>74</v>
      </c>
      <c r="BJ432" s="44" t="s">
        <v>74</v>
      </c>
      <c r="BK432" s="44" t="s">
        <v>74</v>
      </c>
      <c r="BL432" s="45" t="s">
        <v>74</v>
      </c>
      <c r="BM432" s="45" t="s">
        <v>74</v>
      </c>
      <c r="BN432" s="44" t="s">
        <v>74</v>
      </c>
      <c r="BO432" s="62" t="s">
        <v>74</v>
      </c>
      <c r="BP432" s="62" t="s">
        <v>74</v>
      </c>
      <c r="BQ432" s="62" t="s">
        <v>74</v>
      </c>
      <c r="BR432" s="62" t="s">
        <v>74</v>
      </c>
      <c r="BS432" s="53" t="s">
        <v>74</v>
      </c>
      <c r="BT432" s="44" t="s">
        <v>74</v>
      </c>
      <c r="BU432" s="44" t="s">
        <v>74</v>
      </c>
      <c r="BV432" s="44" t="s">
        <v>74</v>
      </c>
      <c r="BW432" s="44" t="s">
        <v>74</v>
      </c>
      <c r="BX432" s="44" t="s">
        <v>74</v>
      </c>
      <c r="BY432" s="44" t="s">
        <v>74</v>
      </c>
    </row>
    <row r="433" spans="1:77">
      <c r="A433">
        <v>0</v>
      </c>
      <c r="B433" s="60" t="s">
        <v>74</v>
      </c>
      <c r="C433" s="60" t="s">
        <v>74</v>
      </c>
      <c r="D433" s="61" t="s">
        <v>74</v>
      </c>
      <c r="E433" s="52" t="s">
        <v>74</v>
      </c>
      <c r="F433" s="52" t="s">
        <v>74</v>
      </c>
      <c r="G433" s="52" t="s">
        <v>74</v>
      </c>
      <c r="H433" s="44" t="s">
        <v>74</v>
      </c>
      <c r="I433" s="44" t="s">
        <v>74</v>
      </c>
      <c r="J433" s="44" t="s">
        <v>74</v>
      </c>
      <c r="K433" s="44" t="s">
        <v>74</v>
      </c>
      <c r="L433" s="44" t="s">
        <v>74</v>
      </c>
      <c r="M433" s="44" t="s">
        <v>74</v>
      </c>
      <c r="N433" s="44" t="s">
        <v>74</v>
      </c>
      <c r="O433" s="44" t="s">
        <v>74</v>
      </c>
      <c r="P433" s="44" t="s">
        <v>74</v>
      </c>
      <c r="Q433" s="44" t="s">
        <v>74</v>
      </c>
      <c r="R433" s="44" t="s">
        <v>74</v>
      </c>
      <c r="S433" s="44" t="s">
        <v>74</v>
      </c>
      <c r="T433" s="44" t="s">
        <v>74</v>
      </c>
      <c r="U433" s="44" t="s">
        <v>74</v>
      </c>
      <c r="V433" s="44" t="s">
        <v>74</v>
      </c>
      <c r="W433" s="44" t="s">
        <v>74</v>
      </c>
      <c r="X433" s="44" t="s">
        <v>74</v>
      </c>
      <c r="Y433" s="44" t="s">
        <v>74</v>
      </c>
      <c r="Z433" s="44" t="s">
        <v>74</v>
      </c>
      <c r="AA433" s="44" t="s">
        <v>74</v>
      </c>
      <c r="AB433" s="44" t="s">
        <v>74</v>
      </c>
      <c r="AC433" s="44" t="s">
        <v>74</v>
      </c>
      <c r="AD433" s="44" t="s">
        <v>74</v>
      </c>
      <c r="AE433" s="44" t="s">
        <v>74</v>
      </c>
      <c r="AF433" s="44" t="s">
        <v>74</v>
      </c>
      <c r="AG433" s="44" t="s">
        <v>74</v>
      </c>
      <c r="AH433" s="44" t="s">
        <v>74</v>
      </c>
      <c r="AI433" s="44" t="s">
        <v>74</v>
      </c>
      <c r="AJ433" s="44" t="s">
        <v>74</v>
      </c>
      <c r="AK433" s="44" t="s">
        <v>74</v>
      </c>
      <c r="AL433" s="44" t="s">
        <v>74</v>
      </c>
      <c r="AM433" s="44" t="s">
        <v>74</v>
      </c>
      <c r="AN433" s="44" t="s">
        <v>74</v>
      </c>
      <c r="AO433" s="44" t="s">
        <v>74</v>
      </c>
      <c r="AP433" s="44" t="s">
        <v>74</v>
      </c>
      <c r="AQ433" s="44" t="s">
        <v>74</v>
      </c>
      <c r="AR433" s="44" t="s">
        <v>74</v>
      </c>
      <c r="AS433" s="44" t="s">
        <v>74</v>
      </c>
      <c r="AT433" s="44" t="s">
        <v>74</v>
      </c>
      <c r="AU433" s="44" t="s">
        <v>74</v>
      </c>
      <c r="AV433" s="44" t="s">
        <v>74</v>
      </c>
      <c r="AW433" s="44" t="s">
        <v>74</v>
      </c>
      <c r="AX433" s="62" t="s">
        <v>74</v>
      </c>
      <c r="AY433" s="62" t="s">
        <v>74</v>
      </c>
      <c r="AZ433" s="62" t="s">
        <v>74</v>
      </c>
      <c r="BA433" s="62" t="s">
        <v>74</v>
      </c>
      <c r="BB433" s="62" t="s">
        <v>74</v>
      </c>
      <c r="BC433" s="62" t="s">
        <v>74</v>
      </c>
      <c r="BD433" s="62" t="s">
        <v>74</v>
      </c>
      <c r="BE433" s="44" t="s">
        <v>74</v>
      </c>
      <c r="BF433" s="44" t="s">
        <v>74</v>
      </c>
      <c r="BG433" s="62" t="s">
        <v>74</v>
      </c>
      <c r="BH433" s="62" t="s">
        <v>74</v>
      </c>
      <c r="BI433" s="44" t="s">
        <v>74</v>
      </c>
      <c r="BJ433" s="44" t="s">
        <v>74</v>
      </c>
      <c r="BK433" s="44" t="s">
        <v>74</v>
      </c>
      <c r="BL433" s="45" t="s">
        <v>74</v>
      </c>
      <c r="BM433" s="45" t="s">
        <v>74</v>
      </c>
      <c r="BN433" s="44" t="s">
        <v>74</v>
      </c>
      <c r="BO433" s="62" t="s">
        <v>74</v>
      </c>
      <c r="BP433" s="62" t="s">
        <v>74</v>
      </c>
      <c r="BQ433" s="62" t="s">
        <v>74</v>
      </c>
      <c r="BR433" s="62" t="s">
        <v>74</v>
      </c>
      <c r="BS433" s="53" t="s">
        <v>74</v>
      </c>
      <c r="BT433" s="44" t="s">
        <v>74</v>
      </c>
      <c r="BU433" s="44" t="s">
        <v>74</v>
      </c>
      <c r="BV433" s="44" t="s">
        <v>74</v>
      </c>
      <c r="BW433" s="44" t="s">
        <v>74</v>
      </c>
      <c r="BX433" s="44" t="s">
        <v>74</v>
      </c>
      <c r="BY433" s="44" t="s">
        <v>74</v>
      </c>
    </row>
    <row r="434" spans="1:77">
      <c r="A434">
        <v>0</v>
      </c>
      <c r="B434" s="60" t="s">
        <v>74</v>
      </c>
      <c r="C434" s="60" t="s">
        <v>74</v>
      </c>
      <c r="D434" s="61" t="s">
        <v>74</v>
      </c>
      <c r="E434" s="52" t="s">
        <v>74</v>
      </c>
      <c r="F434" s="52" t="s">
        <v>74</v>
      </c>
      <c r="G434" s="52" t="s">
        <v>74</v>
      </c>
      <c r="H434" s="44" t="s">
        <v>74</v>
      </c>
      <c r="I434" s="44" t="s">
        <v>74</v>
      </c>
      <c r="J434" s="44" t="s">
        <v>74</v>
      </c>
      <c r="K434" s="44" t="s">
        <v>74</v>
      </c>
      <c r="L434" s="44" t="s">
        <v>74</v>
      </c>
      <c r="M434" s="44" t="s">
        <v>74</v>
      </c>
      <c r="N434" s="44" t="s">
        <v>74</v>
      </c>
      <c r="O434" s="44" t="s">
        <v>74</v>
      </c>
      <c r="P434" s="44" t="s">
        <v>74</v>
      </c>
      <c r="Q434" s="44" t="s">
        <v>74</v>
      </c>
      <c r="R434" s="44" t="s">
        <v>74</v>
      </c>
      <c r="S434" s="44" t="s">
        <v>74</v>
      </c>
      <c r="T434" s="44" t="s">
        <v>74</v>
      </c>
      <c r="U434" s="44" t="s">
        <v>74</v>
      </c>
      <c r="V434" s="44" t="s">
        <v>74</v>
      </c>
      <c r="W434" s="44" t="s">
        <v>74</v>
      </c>
      <c r="X434" s="44" t="s">
        <v>74</v>
      </c>
      <c r="Y434" s="44" t="s">
        <v>74</v>
      </c>
      <c r="Z434" s="44" t="s">
        <v>74</v>
      </c>
      <c r="AA434" s="44" t="s">
        <v>74</v>
      </c>
      <c r="AB434" s="44" t="s">
        <v>74</v>
      </c>
      <c r="AC434" s="44" t="s">
        <v>74</v>
      </c>
      <c r="AD434" s="44" t="s">
        <v>74</v>
      </c>
      <c r="AE434" s="44" t="s">
        <v>74</v>
      </c>
      <c r="AF434" s="44" t="s">
        <v>74</v>
      </c>
      <c r="AG434" s="44" t="s">
        <v>74</v>
      </c>
      <c r="AH434" s="44" t="s">
        <v>74</v>
      </c>
      <c r="AI434" s="44" t="s">
        <v>74</v>
      </c>
      <c r="AJ434" s="44" t="s">
        <v>74</v>
      </c>
      <c r="AK434" s="44" t="s">
        <v>74</v>
      </c>
      <c r="AL434" s="44" t="s">
        <v>74</v>
      </c>
      <c r="AM434" s="44" t="s">
        <v>74</v>
      </c>
      <c r="AN434" s="44" t="s">
        <v>74</v>
      </c>
      <c r="AO434" s="44" t="s">
        <v>74</v>
      </c>
      <c r="AP434" s="44" t="s">
        <v>74</v>
      </c>
      <c r="AQ434" s="44" t="s">
        <v>74</v>
      </c>
      <c r="AR434" s="44" t="s">
        <v>74</v>
      </c>
      <c r="AS434" s="44" t="s">
        <v>74</v>
      </c>
      <c r="AT434" s="44" t="s">
        <v>74</v>
      </c>
      <c r="AU434" s="44" t="s">
        <v>74</v>
      </c>
      <c r="AV434" s="44" t="s">
        <v>74</v>
      </c>
      <c r="AW434" s="44" t="s">
        <v>74</v>
      </c>
      <c r="AX434" s="62" t="s">
        <v>74</v>
      </c>
      <c r="AY434" s="62" t="s">
        <v>74</v>
      </c>
      <c r="AZ434" s="62" t="s">
        <v>74</v>
      </c>
      <c r="BA434" s="62" t="s">
        <v>74</v>
      </c>
      <c r="BB434" s="62" t="s">
        <v>74</v>
      </c>
      <c r="BC434" s="62" t="s">
        <v>74</v>
      </c>
      <c r="BD434" s="62" t="s">
        <v>74</v>
      </c>
      <c r="BE434" s="44" t="s">
        <v>74</v>
      </c>
      <c r="BF434" s="44" t="s">
        <v>74</v>
      </c>
      <c r="BG434" s="62" t="s">
        <v>74</v>
      </c>
      <c r="BH434" s="62" t="s">
        <v>74</v>
      </c>
      <c r="BI434" s="44" t="s">
        <v>74</v>
      </c>
      <c r="BJ434" s="44" t="s">
        <v>74</v>
      </c>
      <c r="BK434" s="44" t="s">
        <v>74</v>
      </c>
      <c r="BL434" s="45" t="s">
        <v>74</v>
      </c>
      <c r="BM434" s="45" t="s">
        <v>74</v>
      </c>
      <c r="BN434" s="44" t="s">
        <v>74</v>
      </c>
      <c r="BO434" s="62" t="s">
        <v>74</v>
      </c>
      <c r="BP434" s="62" t="s">
        <v>74</v>
      </c>
      <c r="BQ434" s="62" t="s">
        <v>74</v>
      </c>
      <c r="BR434" s="62" t="s">
        <v>74</v>
      </c>
      <c r="BS434" s="53" t="s">
        <v>74</v>
      </c>
      <c r="BT434" s="44" t="s">
        <v>74</v>
      </c>
      <c r="BU434" s="44" t="s">
        <v>74</v>
      </c>
      <c r="BV434" s="44" t="s">
        <v>74</v>
      </c>
      <c r="BW434" s="44" t="s">
        <v>74</v>
      </c>
      <c r="BX434" s="44" t="s">
        <v>74</v>
      </c>
      <c r="BY434" s="44" t="s">
        <v>74</v>
      </c>
    </row>
    <row r="435" spans="1:77">
      <c r="A435">
        <v>0</v>
      </c>
      <c r="B435" s="60" t="s">
        <v>74</v>
      </c>
      <c r="C435" s="60" t="s">
        <v>74</v>
      </c>
      <c r="D435" s="61" t="s">
        <v>74</v>
      </c>
      <c r="E435" s="52" t="s">
        <v>74</v>
      </c>
      <c r="F435" s="52" t="s">
        <v>74</v>
      </c>
      <c r="G435" s="52" t="s">
        <v>74</v>
      </c>
      <c r="H435" s="44" t="s">
        <v>74</v>
      </c>
      <c r="I435" s="44" t="s">
        <v>74</v>
      </c>
      <c r="J435" s="44" t="s">
        <v>74</v>
      </c>
      <c r="K435" s="44" t="s">
        <v>74</v>
      </c>
      <c r="L435" s="44" t="s">
        <v>74</v>
      </c>
      <c r="M435" s="44" t="s">
        <v>74</v>
      </c>
      <c r="N435" s="44" t="s">
        <v>74</v>
      </c>
      <c r="O435" s="44" t="s">
        <v>74</v>
      </c>
      <c r="P435" s="44" t="s">
        <v>74</v>
      </c>
      <c r="Q435" s="44" t="s">
        <v>74</v>
      </c>
      <c r="R435" s="44" t="s">
        <v>74</v>
      </c>
      <c r="S435" s="44" t="s">
        <v>74</v>
      </c>
      <c r="T435" s="44" t="s">
        <v>74</v>
      </c>
      <c r="U435" s="44" t="s">
        <v>74</v>
      </c>
      <c r="V435" s="44" t="s">
        <v>74</v>
      </c>
      <c r="W435" s="44" t="s">
        <v>74</v>
      </c>
      <c r="X435" s="44" t="s">
        <v>74</v>
      </c>
      <c r="Y435" s="44" t="s">
        <v>74</v>
      </c>
      <c r="Z435" s="44" t="s">
        <v>74</v>
      </c>
      <c r="AA435" s="44" t="s">
        <v>74</v>
      </c>
      <c r="AB435" s="44" t="s">
        <v>74</v>
      </c>
      <c r="AC435" s="44" t="s">
        <v>74</v>
      </c>
      <c r="AD435" s="44" t="s">
        <v>74</v>
      </c>
      <c r="AE435" s="44" t="s">
        <v>74</v>
      </c>
      <c r="AF435" s="44" t="s">
        <v>74</v>
      </c>
      <c r="AG435" s="44" t="s">
        <v>74</v>
      </c>
      <c r="AH435" s="44" t="s">
        <v>74</v>
      </c>
      <c r="AI435" s="44" t="s">
        <v>74</v>
      </c>
      <c r="AJ435" s="44" t="s">
        <v>74</v>
      </c>
      <c r="AK435" s="44" t="s">
        <v>74</v>
      </c>
      <c r="AL435" s="44" t="s">
        <v>74</v>
      </c>
      <c r="AM435" s="44" t="s">
        <v>74</v>
      </c>
      <c r="AN435" s="44" t="s">
        <v>74</v>
      </c>
      <c r="AO435" s="44" t="s">
        <v>74</v>
      </c>
      <c r="AP435" s="44" t="s">
        <v>74</v>
      </c>
      <c r="AQ435" s="44" t="s">
        <v>74</v>
      </c>
      <c r="AR435" s="44" t="s">
        <v>74</v>
      </c>
      <c r="AS435" s="44" t="s">
        <v>74</v>
      </c>
      <c r="AT435" s="44" t="s">
        <v>74</v>
      </c>
      <c r="AU435" s="44" t="s">
        <v>74</v>
      </c>
      <c r="AV435" s="44" t="s">
        <v>74</v>
      </c>
      <c r="AW435" s="44" t="s">
        <v>74</v>
      </c>
      <c r="AX435" s="62" t="s">
        <v>74</v>
      </c>
      <c r="AY435" s="62" t="s">
        <v>74</v>
      </c>
      <c r="AZ435" s="62" t="s">
        <v>74</v>
      </c>
      <c r="BA435" s="62" t="s">
        <v>74</v>
      </c>
      <c r="BB435" s="62" t="s">
        <v>74</v>
      </c>
      <c r="BC435" s="62" t="s">
        <v>74</v>
      </c>
      <c r="BD435" s="62" t="s">
        <v>74</v>
      </c>
      <c r="BE435" s="44" t="s">
        <v>74</v>
      </c>
      <c r="BF435" s="44" t="s">
        <v>74</v>
      </c>
      <c r="BG435" s="62" t="s">
        <v>74</v>
      </c>
      <c r="BH435" s="62" t="s">
        <v>74</v>
      </c>
      <c r="BI435" s="44" t="s">
        <v>74</v>
      </c>
      <c r="BJ435" s="44" t="s">
        <v>74</v>
      </c>
      <c r="BK435" s="44" t="s">
        <v>74</v>
      </c>
      <c r="BL435" s="45" t="s">
        <v>74</v>
      </c>
      <c r="BM435" s="45" t="s">
        <v>74</v>
      </c>
      <c r="BN435" s="44" t="s">
        <v>74</v>
      </c>
      <c r="BO435" s="62" t="s">
        <v>74</v>
      </c>
      <c r="BP435" s="62" t="s">
        <v>74</v>
      </c>
      <c r="BQ435" s="62" t="s">
        <v>74</v>
      </c>
      <c r="BR435" s="62" t="s">
        <v>74</v>
      </c>
      <c r="BS435" s="53" t="s">
        <v>74</v>
      </c>
      <c r="BT435" s="44" t="s">
        <v>74</v>
      </c>
      <c r="BU435" s="44" t="s">
        <v>74</v>
      </c>
      <c r="BV435" s="44" t="s">
        <v>74</v>
      </c>
      <c r="BW435" s="44" t="s">
        <v>74</v>
      </c>
      <c r="BX435" s="44" t="s">
        <v>74</v>
      </c>
      <c r="BY435" s="44" t="s">
        <v>74</v>
      </c>
    </row>
    <row r="436" spans="1:77">
      <c r="A436">
        <v>0</v>
      </c>
      <c r="B436" s="60" t="s">
        <v>74</v>
      </c>
      <c r="C436" s="60" t="s">
        <v>74</v>
      </c>
      <c r="D436" s="61" t="s">
        <v>74</v>
      </c>
      <c r="E436" s="52" t="s">
        <v>74</v>
      </c>
      <c r="F436" s="52" t="s">
        <v>74</v>
      </c>
      <c r="G436" s="52" t="s">
        <v>74</v>
      </c>
      <c r="H436" s="44" t="s">
        <v>74</v>
      </c>
      <c r="I436" s="44" t="s">
        <v>74</v>
      </c>
      <c r="J436" s="44" t="s">
        <v>74</v>
      </c>
      <c r="K436" s="44" t="s">
        <v>74</v>
      </c>
      <c r="L436" s="44" t="s">
        <v>74</v>
      </c>
      <c r="M436" s="44" t="s">
        <v>74</v>
      </c>
      <c r="N436" s="44" t="s">
        <v>74</v>
      </c>
      <c r="O436" s="44" t="s">
        <v>74</v>
      </c>
      <c r="P436" s="44" t="s">
        <v>74</v>
      </c>
      <c r="Q436" s="44" t="s">
        <v>74</v>
      </c>
      <c r="R436" s="44" t="s">
        <v>74</v>
      </c>
      <c r="S436" s="44" t="s">
        <v>74</v>
      </c>
      <c r="T436" s="44" t="s">
        <v>74</v>
      </c>
      <c r="U436" s="44" t="s">
        <v>74</v>
      </c>
      <c r="V436" s="44" t="s">
        <v>74</v>
      </c>
      <c r="W436" s="44" t="s">
        <v>74</v>
      </c>
      <c r="X436" s="44" t="s">
        <v>74</v>
      </c>
      <c r="Y436" s="44" t="s">
        <v>74</v>
      </c>
      <c r="Z436" s="44" t="s">
        <v>74</v>
      </c>
      <c r="AA436" s="44" t="s">
        <v>74</v>
      </c>
      <c r="AB436" s="44" t="s">
        <v>74</v>
      </c>
      <c r="AC436" s="44" t="s">
        <v>74</v>
      </c>
      <c r="AD436" s="44" t="s">
        <v>74</v>
      </c>
      <c r="AE436" s="44" t="s">
        <v>74</v>
      </c>
      <c r="AF436" s="44" t="s">
        <v>74</v>
      </c>
      <c r="AG436" s="44" t="s">
        <v>74</v>
      </c>
      <c r="AH436" s="44" t="s">
        <v>74</v>
      </c>
      <c r="AI436" s="44" t="s">
        <v>74</v>
      </c>
      <c r="AJ436" s="44" t="s">
        <v>74</v>
      </c>
      <c r="AK436" s="44" t="s">
        <v>74</v>
      </c>
      <c r="AL436" s="44" t="s">
        <v>74</v>
      </c>
      <c r="AM436" s="44" t="s">
        <v>74</v>
      </c>
      <c r="AN436" s="44" t="s">
        <v>74</v>
      </c>
      <c r="AO436" s="44" t="s">
        <v>74</v>
      </c>
      <c r="AP436" s="44" t="s">
        <v>74</v>
      </c>
      <c r="AQ436" s="44" t="s">
        <v>74</v>
      </c>
      <c r="AR436" s="44" t="s">
        <v>74</v>
      </c>
      <c r="AS436" s="44" t="s">
        <v>74</v>
      </c>
      <c r="AT436" s="44" t="s">
        <v>74</v>
      </c>
      <c r="AU436" s="44" t="s">
        <v>74</v>
      </c>
      <c r="AV436" s="44" t="s">
        <v>74</v>
      </c>
      <c r="AW436" s="44" t="s">
        <v>74</v>
      </c>
      <c r="AX436" s="62" t="s">
        <v>74</v>
      </c>
      <c r="AY436" s="62" t="s">
        <v>74</v>
      </c>
      <c r="AZ436" s="62" t="s">
        <v>74</v>
      </c>
      <c r="BA436" s="62" t="s">
        <v>74</v>
      </c>
      <c r="BB436" s="62" t="s">
        <v>74</v>
      </c>
      <c r="BC436" s="62" t="s">
        <v>74</v>
      </c>
      <c r="BD436" s="62" t="s">
        <v>74</v>
      </c>
      <c r="BE436" s="44" t="s">
        <v>74</v>
      </c>
      <c r="BF436" s="44" t="s">
        <v>74</v>
      </c>
      <c r="BG436" s="62" t="s">
        <v>74</v>
      </c>
      <c r="BH436" s="62" t="s">
        <v>74</v>
      </c>
      <c r="BI436" s="44" t="s">
        <v>74</v>
      </c>
      <c r="BJ436" s="44" t="s">
        <v>74</v>
      </c>
      <c r="BK436" s="44" t="s">
        <v>74</v>
      </c>
      <c r="BL436" s="45" t="s">
        <v>74</v>
      </c>
      <c r="BM436" s="45" t="s">
        <v>74</v>
      </c>
      <c r="BN436" s="44" t="s">
        <v>74</v>
      </c>
      <c r="BO436" s="62" t="s">
        <v>74</v>
      </c>
      <c r="BP436" s="62" t="s">
        <v>74</v>
      </c>
      <c r="BQ436" s="62" t="s">
        <v>74</v>
      </c>
      <c r="BR436" s="62" t="s">
        <v>74</v>
      </c>
      <c r="BS436" s="53" t="s">
        <v>74</v>
      </c>
      <c r="BT436" s="44" t="s">
        <v>74</v>
      </c>
      <c r="BU436" s="44" t="s">
        <v>74</v>
      </c>
      <c r="BV436" s="44" t="s">
        <v>74</v>
      </c>
      <c r="BW436" s="44" t="s">
        <v>74</v>
      </c>
      <c r="BX436" s="44" t="s">
        <v>74</v>
      </c>
      <c r="BY436" s="44" t="s">
        <v>74</v>
      </c>
    </row>
    <row r="437" spans="1:77">
      <c r="A437">
        <v>0</v>
      </c>
      <c r="B437" s="60" t="s">
        <v>74</v>
      </c>
      <c r="C437" s="60" t="s">
        <v>74</v>
      </c>
      <c r="D437" s="61" t="s">
        <v>74</v>
      </c>
      <c r="E437" s="52" t="s">
        <v>74</v>
      </c>
      <c r="F437" s="52" t="s">
        <v>74</v>
      </c>
      <c r="G437" s="52" t="s">
        <v>74</v>
      </c>
      <c r="H437" s="44" t="s">
        <v>74</v>
      </c>
      <c r="I437" s="44" t="s">
        <v>74</v>
      </c>
      <c r="J437" s="44" t="s">
        <v>74</v>
      </c>
      <c r="K437" s="44" t="s">
        <v>74</v>
      </c>
      <c r="L437" s="44" t="s">
        <v>74</v>
      </c>
      <c r="M437" s="44" t="s">
        <v>74</v>
      </c>
      <c r="N437" s="44" t="s">
        <v>74</v>
      </c>
      <c r="O437" s="44" t="s">
        <v>74</v>
      </c>
      <c r="P437" s="44" t="s">
        <v>74</v>
      </c>
      <c r="Q437" s="44" t="s">
        <v>74</v>
      </c>
      <c r="R437" s="44" t="s">
        <v>74</v>
      </c>
      <c r="S437" s="44" t="s">
        <v>74</v>
      </c>
      <c r="T437" s="44" t="s">
        <v>74</v>
      </c>
      <c r="U437" s="44" t="s">
        <v>74</v>
      </c>
      <c r="V437" s="44" t="s">
        <v>74</v>
      </c>
      <c r="W437" s="44" t="s">
        <v>74</v>
      </c>
      <c r="X437" s="44" t="s">
        <v>74</v>
      </c>
      <c r="Y437" s="44" t="s">
        <v>74</v>
      </c>
      <c r="Z437" s="44" t="s">
        <v>74</v>
      </c>
      <c r="AA437" s="44" t="s">
        <v>74</v>
      </c>
      <c r="AB437" s="44" t="s">
        <v>74</v>
      </c>
      <c r="AC437" s="44" t="s">
        <v>74</v>
      </c>
      <c r="AD437" s="44" t="s">
        <v>74</v>
      </c>
      <c r="AE437" s="44" t="s">
        <v>74</v>
      </c>
      <c r="AF437" s="44" t="s">
        <v>74</v>
      </c>
      <c r="AG437" s="44" t="s">
        <v>74</v>
      </c>
      <c r="AH437" s="44" t="s">
        <v>74</v>
      </c>
      <c r="AI437" s="44" t="s">
        <v>74</v>
      </c>
      <c r="AJ437" s="44" t="s">
        <v>74</v>
      </c>
      <c r="AK437" s="44" t="s">
        <v>74</v>
      </c>
      <c r="AL437" s="44" t="s">
        <v>74</v>
      </c>
      <c r="AM437" s="44" t="s">
        <v>74</v>
      </c>
      <c r="AN437" s="44" t="s">
        <v>74</v>
      </c>
      <c r="AO437" s="44" t="s">
        <v>74</v>
      </c>
      <c r="AP437" s="44" t="s">
        <v>74</v>
      </c>
      <c r="AQ437" s="44" t="s">
        <v>74</v>
      </c>
      <c r="AR437" s="44" t="s">
        <v>74</v>
      </c>
      <c r="AS437" s="44" t="s">
        <v>74</v>
      </c>
      <c r="AT437" s="44" t="s">
        <v>74</v>
      </c>
      <c r="AU437" s="44" t="s">
        <v>74</v>
      </c>
      <c r="AV437" s="44" t="s">
        <v>74</v>
      </c>
      <c r="AW437" s="44" t="s">
        <v>74</v>
      </c>
      <c r="AX437" s="62" t="s">
        <v>74</v>
      </c>
      <c r="AY437" s="62" t="s">
        <v>74</v>
      </c>
      <c r="AZ437" s="62" t="s">
        <v>74</v>
      </c>
      <c r="BA437" s="62" t="s">
        <v>74</v>
      </c>
      <c r="BB437" s="62" t="s">
        <v>74</v>
      </c>
      <c r="BC437" s="62" t="s">
        <v>74</v>
      </c>
      <c r="BD437" s="62" t="s">
        <v>74</v>
      </c>
      <c r="BE437" s="44" t="s">
        <v>74</v>
      </c>
      <c r="BF437" s="44" t="s">
        <v>74</v>
      </c>
      <c r="BG437" s="62" t="s">
        <v>74</v>
      </c>
      <c r="BH437" s="62" t="s">
        <v>74</v>
      </c>
      <c r="BI437" s="44" t="s">
        <v>74</v>
      </c>
      <c r="BJ437" s="44" t="s">
        <v>74</v>
      </c>
      <c r="BK437" s="44" t="s">
        <v>74</v>
      </c>
      <c r="BL437" s="45" t="s">
        <v>74</v>
      </c>
      <c r="BM437" s="45" t="s">
        <v>74</v>
      </c>
      <c r="BN437" s="44" t="s">
        <v>74</v>
      </c>
      <c r="BO437" s="62" t="s">
        <v>74</v>
      </c>
      <c r="BP437" s="62" t="s">
        <v>74</v>
      </c>
      <c r="BQ437" s="62" t="s">
        <v>74</v>
      </c>
      <c r="BR437" s="62" t="s">
        <v>74</v>
      </c>
      <c r="BS437" s="53" t="s">
        <v>74</v>
      </c>
      <c r="BT437" s="44" t="s">
        <v>74</v>
      </c>
      <c r="BU437" s="44" t="s">
        <v>74</v>
      </c>
      <c r="BV437" s="44" t="s">
        <v>74</v>
      </c>
      <c r="BW437" s="44" t="s">
        <v>74</v>
      </c>
      <c r="BX437" s="44" t="s">
        <v>74</v>
      </c>
      <c r="BY437" s="44" t="s">
        <v>74</v>
      </c>
    </row>
    <row r="438" spans="1:77">
      <c r="A438">
        <v>0</v>
      </c>
      <c r="B438" s="60" t="s">
        <v>74</v>
      </c>
      <c r="C438" s="60" t="s">
        <v>74</v>
      </c>
      <c r="D438" s="61" t="s">
        <v>74</v>
      </c>
      <c r="E438" s="52" t="s">
        <v>74</v>
      </c>
      <c r="F438" s="52" t="s">
        <v>74</v>
      </c>
      <c r="G438" s="52" t="s">
        <v>74</v>
      </c>
      <c r="H438" s="44" t="s">
        <v>74</v>
      </c>
      <c r="I438" s="44" t="s">
        <v>74</v>
      </c>
      <c r="J438" s="44" t="s">
        <v>74</v>
      </c>
      <c r="K438" s="44" t="s">
        <v>74</v>
      </c>
      <c r="L438" s="44" t="s">
        <v>74</v>
      </c>
      <c r="M438" s="44" t="s">
        <v>74</v>
      </c>
      <c r="N438" s="44" t="s">
        <v>74</v>
      </c>
      <c r="O438" s="44" t="s">
        <v>74</v>
      </c>
      <c r="P438" s="44" t="s">
        <v>74</v>
      </c>
      <c r="Q438" s="44" t="s">
        <v>74</v>
      </c>
      <c r="R438" s="44" t="s">
        <v>74</v>
      </c>
      <c r="S438" s="44" t="s">
        <v>74</v>
      </c>
      <c r="T438" s="44" t="s">
        <v>74</v>
      </c>
      <c r="U438" s="44" t="s">
        <v>74</v>
      </c>
      <c r="V438" s="44" t="s">
        <v>74</v>
      </c>
      <c r="W438" s="44" t="s">
        <v>74</v>
      </c>
      <c r="X438" s="44" t="s">
        <v>74</v>
      </c>
      <c r="Y438" s="44" t="s">
        <v>74</v>
      </c>
      <c r="Z438" s="44" t="s">
        <v>74</v>
      </c>
      <c r="AA438" s="44" t="s">
        <v>74</v>
      </c>
      <c r="AB438" s="44" t="s">
        <v>74</v>
      </c>
      <c r="AC438" s="44" t="s">
        <v>74</v>
      </c>
      <c r="AD438" s="44" t="s">
        <v>74</v>
      </c>
      <c r="AE438" s="44" t="s">
        <v>74</v>
      </c>
      <c r="AF438" s="44" t="s">
        <v>74</v>
      </c>
      <c r="AG438" s="44" t="s">
        <v>74</v>
      </c>
      <c r="AH438" s="44" t="s">
        <v>74</v>
      </c>
      <c r="AI438" s="44" t="s">
        <v>74</v>
      </c>
      <c r="AJ438" s="44" t="s">
        <v>74</v>
      </c>
      <c r="AK438" s="44" t="s">
        <v>74</v>
      </c>
      <c r="AL438" s="44" t="s">
        <v>74</v>
      </c>
      <c r="AM438" s="44" t="s">
        <v>74</v>
      </c>
      <c r="AN438" s="44" t="s">
        <v>74</v>
      </c>
      <c r="AO438" s="44" t="s">
        <v>74</v>
      </c>
      <c r="AP438" s="44" t="s">
        <v>74</v>
      </c>
      <c r="AQ438" s="44" t="s">
        <v>74</v>
      </c>
      <c r="AR438" s="44" t="s">
        <v>74</v>
      </c>
      <c r="AS438" s="44" t="s">
        <v>74</v>
      </c>
      <c r="AT438" s="44" t="s">
        <v>74</v>
      </c>
      <c r="AU438" s="44" t="s">
        <v>74</v>
      </c>
      <c r="AV438" s="44" t="s">
        <v>74</v>
      </c>
      <c r="AW438" s="44" t="s">
        <v>74</v>
      </c>
      <c r="AX438" s="62" t="s">
        <v>74</v>
      </c>
      <c r="AY438" s="62" t="s">
        <v>74</v>
      </c>
      <c r="AZ438" s="62" t="s">
        <v>74</v>
      </c>
      <c r="BA438" s="62" t="s">
        <v>74</v>
      </c>
      <c r="BB438" s="62" t="s">
        <v>74</v>
      </c>
      <c r="BC438" s="62" t="s">
        <v>74</v>
      </c>
      <c r="BD438" s="62" t="s">
        <v>74</v>
      </c>
      <c r="BE438" s="44" t="s">
        <v>74</v>
      </c>
      <c r="BF438" s="44" t="s">
        <v>74</v>
      </c>
      <c r="BG438" s="62" t="s">
        <v>74</v>
      </c>
      <c r="BH438" s="62" t="s">
        <v>74</v>
      </c>
      <c r="BI438" s="44" t="s">
        <v>74</v>
      </c>
      <c r="BJ438" s="44" t="s">
        <v>74</v>
      </c>
      <c r="BK438" s="44" t="s">
        <v>74</v>
      </c>
      <c r="BL438" s="45" t="s">
        <v>74</v>
      </c>
      <c r="BM438" s="45" t="s">
        <v>74</v>
      </c>
      <c r="BN438" s="44" t="s">
        <v>74</v>
      </c>
      <c r="BO438" s="62" t="s">
        <v>74</v>
      </c>
      <c r="BP438" s="62" t="s">
        <v>74</v>
      </c>
      <c r="BQ438" s="62" t="s">
        <v>74</v>
      </c>
      <c r="BR438" s="62" t="s">
        <v>74</v>
      </c>
      <c r="BS438" s="53" t="s">
        <v>74</v>
      </c>
      <c r="BT438" s="44" t="s">
        <v>74</v>
      </c>
      <c r="BU438" s="44" t="s">
        <v>74</v>
      </c>
      <c r="BV438" s="44" t="s">
        <v>74</v>
      </c>
      <c r="BW438" s="44" t="s">
        <v>74</v>
      </c>
      <c r="BX438" s="44" t="s">
        <v>74</v>
      </c>
      <c r="BY438" s="44" t="s">
        <v>74</v>
      </c>
    </row>
    <row r="439" spans="1:77">
      <c r="A439">
        <v>0</v>
      </c>
      <c r="B439" s="60" t="s">
        <v>74</v>
      </c>
      <c r="C439" s="60" t="s">
        <v>74</v>
      </c>
      <c r="D439" s="61" t="s">
        <v>74</v>
      </c>
      <c r="E439" s="52" t="s">
        <v>74</v>
      </c>
      <c r="F439" s="52" t="s">
        <v>74</v>
      </c>
      <c r="G439" s="52" t="s">
        <v>74</v>
      </c>
      <c r="H439" s="44" t="s">
        <v>74</v>
      </c>
      <c r="I439" s="44" t="s">
        <v>74</v>
      </c>
      <c r="J439" s="44" t="s">
        <v>74</v>
      </c>
      <c r="K439" s="44" t="s">
        <v>74</v>
      </c>
      <c r="L439" s="44" t="s">
        <v>74</v>
      </c>
      <c r="M439" s="44" t="s">
        <v>74</v>
      </c>
      <c r="N439" s="44" t="s">
        <v>74</v>
      </c>
      <c r="O439" s="44" t="s">
        <v>74</v>
      </c>
      <c r="P439" s="44" t="s">
        <v>74</v>
      </c>
      <c r="Q439" s="44" t="s">
        <v>74</v>
      </c>
      <c r="R439" s="44" t="s">
        <v>74</v>
      </c>
      <c r="S439" s="44" t="s">
        <v>74</v>
      </c>
      <c r="T439" s="44" t="s">
        <v>74</v>
      </c>
      <c r="U439" s="44" t="s">
        <v>74</v>
      </c>
      <c r="V439" s="44" t="s">
        <v>74</v>
      </c>
      <c r="W439" s="44" t="s">
        <v>74</v>
      </c>
      <c r="X439" s="44" t="s">
        <v>74</v>
      </c>
      <c r="Y439" s="44" t="s">
        <v>74</v>
      </c>
      <c r="Z439" s="44" t="s">
        <v>74</v>
      </c>
      <c r="AA439" s="44" t="s">
        <v>74</v>
      </c>
      <c r="AB439" s="44" t="s">
        <v>74</v>
      </c>
      <c r="AC439" s="44" t="s">
        <v>74</v>
      </c>
      <c r="AD439" s="44" t="s">
        <v>74</v>
      </c>
      <c r="AE439" s="44" t="s">
        <v>74</v>
      </c>
      <c r="AF439" s="44" t="s">
        <v>74</v>
      </c>
      <c r="AG439" s="44" t="s">
        <v>74</v>
      </c>
      <c r="AH439" s="44" t="s">
        <v>74</v>
      </c>
      <c r="AI439" s="44" t="s">
        <v>74</v>
      </c>
      <c r="AJ439" s="44" t="s">
        <v>74</v>
      </c>
      <c r="AK439" s="44" t="s">
        <v>74</v>
      </c>
      <c r="AL439" s="44" t="s">
        <v>74</v>
      </c>
      <c r="AM439" s="44" t="s">
        <v>74</v>
      </c>
      <c r="AN439" s="44" t="s">
        <v>74</v>
      </c>
      <c r="AO439" s="44" t="s">
        <v>74</v>
      </c>
      <c r="AP439" s="44" t="s">
        <v>74</v>
      </c>
      <c r="AQ439" s="44" t="s">
        <v>74</v>
      </c>
      <c r="AR439" s="44" t="s">
        <v>74</v>
      </c>
      <c r="AS439" s="44" t="s">
        <v>74</v>
      </c>
      <c r="AT439" s="44" t="s">
        <v>74</v>
      </c>
      <c r="AU439" s="44" t="s">
        <v>74</v>
      </c>
      <c r="AV439" s="44" t="s">
        <v>74</v>
      </c>
      <c r="AW439" s="44" t="s">
        <v>74</v>
      </c>
      <c r="AX439" s="62" t="s">
        <v>74</v>
      </c>
      <c r="AY439" s="62" t="s">
        <v>74</v>
      </c>
      <c r="AZ439" s="62" t="s">
        <v>74</v>
      </c>
      <c r="BA439" s="62" t="s">
        <v>74</v>
      </c>
      <c r="BB439" s="62" t="s">
        <v>74</v>
      </c>
      <c r="BC439" s="62" t="s">
        <v>74</v>
      </c>
      <c r="BD439" s="62" t="s">
        <v>74</v>
      </c>
      <c r="BE439" s="44" t="s">
        <v>74</v>
      </c>
      <c r="BF439" s="44" t="s">
        <v>74</v>
      </c>
      <c r="BG439" s="62" t="s">
        <v>74</v>
      </c>
      <c r="BH439" s="62" t="s">
        <v>74</v>
      </c>
      <c r="BI439" s="44" t="s">
        <v>74</v>
      </c>
      <c r="BJ439" s="44" t="s">
        <v>74</v>
      </c>
      <c r="BK439" s="44" t="s">
        <v>74</v>
      </c>
      <c r="BL439" s="45" t="s">
        <v>74</v>
      </c>
      <c r="BM439" s="45" t="s">
        <v>74</v>
      </c>
      <c r="BN439" s="44" t="s">
        <v>74</v>
      </c>
      <c r="BO439" s="62" t="s">
        <v>74</v>
      </c>
      <c r="BP439" s="62" t="s">
        <v>74</v>
      </c>
      <c r="BQ439" s="62" t="s">
        <v>74</v>
      </c>
      <c r="BR439" s="62" t="s">
        <v>74</v>
      </c>
      <c r="BS439" s="53" t="s">
        <v>74</v>
      </c>
      <c r="BT439" s="44" t="s">
        <v>74</v>
      </c>
      <c r="BU439" s="44" t="s">
        <v>74</v>
      </c>
      <c r="BV439" s="44" t="s">
        <v>74</v>
      </c>
      <c r="BW439" s="44" t="s">
        <v>74</v>
      </c>
      <c r="BX439" s="44" t="s">
        <v>74</v>
      </c>
      <c r="BY439" s="44" t="s">
        <v>74</v>
      </c>
    </row>
    <row r="440" spans="1:77">
      <c r="A440">
        <v>0</v>
      </c>
      <c r="B440" s="60" t="s">
        <v>74</v>
      </c>
      <c r="C440" s="60" t="s">
        <v>74</v>
      </c>
      <c r="D440" s="61" t="s">
        <v>74</v>
      </c>
      <c r="E440" s="52" t="s">
        <v>74</v>
      </c>
      <c r="F440" s="52" t="s">
        <v>74</v>
      </c>
      <c r="G440" s="52" t="s">
        <v>74</v>
      </c>
      <c r="H440" s="44" t="s">
        <v>74</v>
      </c>
      <c r="I440" s="44" t="s">
        <v>74</v>
      </c>
      <c r="J440" s="44" t="s">
        <v>74</v>
      </c>
      <c r="K440" s="44" t="s">
        <v>74</v>
      </c>
      <c r="L440" s="44" t="s">
        <v>74</v>
      </c>
      <c r="M440" s="44" t="s">
        <v>74</v>
      </c>
      <c r="N440" s="44" t="s">
        <v>74</v>
      </c>
      <c r="O440" s="44" t="s">
        <v>74</v>
      </c>
      <c r="P440" s="44" t="s">
        <v>74</v>
      </c>
      <c r="Q440" s="44" t="s">
        <v>74</v>
      </c>
      <c r="R440" s="44" t="s">
        <v>74</v>
      </c>
      <c r="S440" s="44" t="s">
        <v>74</v>
      </c>
      <c r="T440" s="44" t="s">
        <v>74</v>
      </c>
      <c r="U440" s="44" t="s">
        <v>74</v>
      </c>
      <c r="V440" s="44" t="s">
        <v>74</v>
      </c>
      <c r="W440" s="44" t="s">
        <v>74</v>
      </c>
      <c r="X440" s="44" t="s">
        <v>74</v>
      </c>
      <c r="Y440" s="44" t="s">
        <v>74</v>
      </c>
      <c r="Z440" s="44" t="s">
        <v>74</v>
      </c>
      <c r="AA440" s="44" t="s">
        <v>74</v>
      </c>
      <c r="AB440" s="44" t="s">
        <v>74</v>
      </c>
      <c r="AC440" s="44" t="s">
        <v>74</v>
      </c>
      <c r="AD440" s="44" t="s">
        <v>74</v>
      </c>
      <c r="AE440" s="44" t="s">
        <v>74</v>
      </c>
      <c r="AF440" s="44" t="s">
        <v>74</v>
      </c>
      <c r="AG440" s="44" t="s">
        <v>74</v>
      </c>
      <c r="AH440" s="44" t="s">
        <v>74</v>
      </c>
      <c r="AI440" s="44" t="s">
        <v>74</v>
      </c>
      <c r="AJ440" s="44" t="s">
        <v>74</v>
      </c>
      <c r="AK440" s="44" t="s">
        <v>74</v>
      </c>
      <c r="AL440" s="44" t="s">
        <v>74</v>
      </c>
      <c r="AM440" s="44" t="s">
        <v>74</v>
      </c>
      <c r="AN440" s="44" t="s">
        <v>74</v>
      </c>
      <c r="AO440" s="44" t="s">
        <v>74</v>
      </c>
      <c r="AP440" s="44" t="s">
        <v>74</v>
      </c>
      <c r="AQ440" s="44" t="s">
        <v>74</v>
      </c>
      <c r="AR440" s="44" t="s">
        <v>74</v>
      </c>
      <c r="AS440" s="44" t="s">
        <v>74</v>
      </c>
      <c r="AT440" s="44" t="s">
        <v>74</v>
      </c>
      <c r="AU440" s="44" t="s">
        <v>74</v>
      </c>
      <c r="AV440" s="44" t="s">
        <v>74</v>
      </c>
      <c r="AW440" s="44" t="s">
        <v>74</v>
      </c>
      <c r="AX440" s="62" t="s">
        <v>74</v>
      </c>
      <c r="AY440" s="62" t="s">
        <v>74</v>
      </c>
      <c r="AZ440" s="62" t="s">
        <v>74</v>
      </c>
      <c r="BA440" s="62" t="s">
        <v>74</v>
      </c>
      <c r="BB440" s="62" t="s">
        <v>74</v>
      </c>
      <c r="BC440" s="62" t="s">
        <v>74</v>
      </c>
      <c r="BD440" s="62" t="s">
        <v>74</v>
      </c>
      <c r="BE440" s="44" t="s">
        <v>74</v>
      </c>
      <c r="BF440" s="44" t="s">
        <v>74</v>
      </c>
      <c r="BG440" s="62" t="s">
        <v>74</v>
      </c>
      <c r="BH440" s="62" t="s">
        <v>74</v>
      </c>
      <c r="BI440" s="44" t="s">
        <v>74</v>
      </c>
      <c r="BJ440" s="44" t="s">
        <v>74</v>
      </c>
      <c r="BK440" s="44" t="s">
        <v>74</v>
      </c>
      <c r="BL440" s="45" t="s">
        <v>74</v>
      </c>
      <c r="BM440" s="45" t="s">
        <v>74</v>
      </c>
      <c r="BN440" s="44" t="s">
        <v>74</v>
      </c>
      <c r="BO440" s="62" t="s">
        <v>74</v>
      </c>
      <c r="BP440" s="62" t="s">
        <v>74</v>
      </c>
      <c r="BQ440" s="62" t="s">
        <v>74</v>
      </c>
      <c r="BR440" s="62" t="s">
        <v>74</v>
      </c>
      <c r="BS440" s="53" t="s">
        <v>74</v>
      </c>
      <c r="BT440" s="44" t="s">
        <v>74</v>
      </c>
      <c r="BU440" s="44" t="s">
        <v>74</v>
      </c>
      <c r="BV440" s="44" t="s">
        <v>74</v>
      </c>
      <c r="BW440" s="44" t="s">
        <v>74</v>
      </c>
      <c r="BX440" s="44" t="s">
        <v>74</v>
      </c>
      <c r="BY440" s="44" t="s">
        <v>74</v>
      </c>
    </row>
    <row r="441" spans="1:77">
      <c r="A441">
        <v>0</v>
      </c>
      <c r="B441" s="60" t="s">
        <v>74</v>
      </c>
      <c r="C441" s="60" t="s">
        <v>74</v>
      </c>
      <c r="D441" s="61" t="s">
        <v>74</v>
      </c>
      <c r="E441" s="52" t="s">
        <v>74</v>
      </c>
      <c r="F441" s="52" t="s">
        <v>74</v>
      </c>
      <c r="G441" s="52" t="s">
        <v>74</v>
      </c>
      <c r="H441" s="44" t="s">
        <v>74</v>
      </c>
      <c r="I441" s="44" t="s">
        <v>74</v>
      </c>
      <c r="J441" s="44" t="s">
        <v>74</v>
      </c>
      <c r="K441" s="44" t="s">
        <v>74</v>
      </c>
      <c r="L441" s="44" t="s">
        <v>74</v>
      </c>
      <c r="M441" s="44" t="s">
        <v>74</v>
      </c>
      <c r="N441" s="44" t="s">
        <v>74</v>
      </c>
      <c r="O441" s="44" t="s">
        <v>74</v>
      </c>
      <c r="P441" s="44" t="s">
        <v>74</v>
      </c>
      <c r="Q441" s="44" t="s">
        <v>74</v>
      </c>
      <c r="R441" s="44" t="s">
        <v>74</v>
      </c>
      <c r="S441" s="44" t="s">
        <v>74</v>
      </c>
      <c r="T441" s="44" t="s">
        <v>74</v>
      </c>
      <c r="U441" s="44" t="s">
        <v>74</v>
      </c>
      <c r="V441" s="44" t="s">
        <v>74</v>
      </c>
      <c r="W441" s="44" t="s">
        <v>74</v>
      </c>
      <c r="X441" s="44" t="s">
        <v>74</v>
      </c>
      <c r="Y441" s="44" t="s">
        <v>74</v>
      </c>
      <c r="Z441" s="44" t="s">
        <v>74</v>
      </c>
      <c r="AA441" s="44" t="s">
        <v>74</v>
      </c>
      <c r="AB441" s="44" t="s">
        <v>74</v>
      </c>
      <c r="AC441" s="44" t="s">
        <v>74</v>
      </c>
      <c r="AD441" s="44" t="s">
        <v>74</v>
      </c>
      <c r="AE441" s="44" t="s">
        <v>74</v>
      </c>
      <c r="AF441" s="44" t="s">
        <v>74</v>
      </c>
      <c r="AG441" s="44" t="s">
        <v>74</v>
      </c>
      <c r="AH441" s="44" t="s">
        <v>74</v>
      </c>
      <c r="AI441" s="44" t="s">
        <v>74</v>
      </c>
      <c r="AJ441" s="44" t="s">
        <v>74</v>
      </c>
      <c r="AK441" s="44" t="s">
        <v>74</v>
      </c>
      <c r="AL441" s="44" t="s">
        <v>74</v>
      </c>
      <c r="AM441" s="44" t="s">
        <v>74</v>
      </c>
      <c r="AN441" s="44" t="s">
        <v>74</v>
      </c>
      <c r="AO441" s="44" t="s">
        <v>74</v>
      </c>
      <c r="AP441" s="44" t="s">
        <v>74</v>
      </c>
      <c r="AQ441" s="44" t="s">
        <v>74</v>
      </c>
      <c r="AR441" s="44" t="s">
        <v>74</v>
      </c>
      <c r="AS441" s="44" t="s">
        <v>74</v>
      </c>
      <c r="AT441" s="44" t="s">
        <v>74</v>
      </c>
      <c r="AU441" s="44" t="s">
        <v>74</v>
      </c>
      <c r="AV441" s="44" t="s">
        <v>74</v>
      </c>
      <c r="AW441" s="44" t="s">
        <v>74</v>
      </c>
      <c r="AX441" s="62" t="s">
        <v>74</v>
      </c>
      <c r="AY441" s="62" t="s">
        <v>74</v>
      </c>
      <c r="AZ441" s="62" t="s">
        <v>74</v>
      </c>
      <c r="BA441" s="62" t="s">
        <v>74</v>
      </c>
      <c r="BB441" s="62" t="s">
        <v>74</v>
      </c>
      <c r="BC441" s="62" t="s">
        <v>74</v>
      </c>
      <c r="BD441" s="62" t="s">
        <v>74</v>
      </c>
      <c r="BE441" s="44" t="s">
        <v>74</v>
      </c>
      <c r="BF441" s="44" t="s">
        <v>74</v>
      </c>
      <c r="BG441" s="62" t="s">
        <v>74</v>
      </c>
      <c r="BH441" s="62" t="s">
        <v>74</v>
      </c>
      <c r="BI441" s="44" t="s">
        <v>74</v>
      </c>
      <c r="BJ441" s="44" t="s">
        <v>74</v>
      </c>
      <c r="BK441" s="44" t="s">
        <v>74</v>
      </c>
      <c r="BL441" s="45" t="s">
        <v>74</v>
      </c>
      <c r="BM441" s="45" t="s">
        <v>74</v>
      </c>
      <c r="BN441" s="44" t="s">
        <v>74</v>
      </c>
      <c r="BO441" s="62" t="s">
        <v>74</v>
      </c>
      <c r="BP441" s="62" t="s">
        <v>74</v>
      </c>
      <c r="BQ441" s="62" t="s">
        <v>74</v>
      </c>
      <c r="BR441" s="62" t="s">
        <v>74</v>
      </c>
      <c r="BS441" s="53" t="s">
        <v>74</v>
      </c>
      <c r="BT441" s="44" t="s">
        <v>74</v>
      </c>
      <c r="BU441" s="44" t="s">
        <v>74</v>
      </c>
      <c r="BV441" s="44" t="s">
        <v>74</v>
      </c>
      <c r="BW441" s="44" t="s">
        <v>74</v>
      </c>
      <c r="BX441" s="44" t="s">
        <v>74</v>
      </c>
      <c r="BY441" s="44" t="s">
        <v>74</v>
      </c>
    </row>
    <row r="442" spans="1:77">
      <c r="A442">
        <v>0</v>
      </c>
      <c r="B442" s="60" t="s">
        <v>74</v>
      </c>
      <c r="C442" s="60" t="s">
        <v>74</v>
      </c>
      <c r="D442" s="61" t="s">
        <v>74</v>
      </c>
      <c r="E442" s="52" t="s">
        <v>74</v>
      </c>
      <c r="F442" s="52" t="s">
        <v>74</v>
      </c>
      <c r="G442" s="52" t="s">
        <v>74</v>
      </c>
      <c r="H442" s="44" t="s">
        <v>74</v>
      </c>
      <c r="I442" s="44" t="s">
        <v>74</v>
      </c>
      <c r="J442" s="44" t="s">
        <v>74</v>
      </c>
      <c r="K442" s="44" t="s">
        <v>74</v>
      </c>
      <c r="L442" s="44" t="s">
        <v>74</v>
      </c>
      <c r="M442" s="44" t="s">
        <v>74</v>
      </c>
      <c r="N442" s="44" t="s">
        <v>74</v>
      </c>
      <c r="O442" s="44" t="s">
        <v>74</v>
      </c>
      <c r="P442" s="44" t="s">
        <v>74</v>
      </c>
      <c r="Q442" s="44" t="s">
        <v>74</v>
      </c>
      <c r="R442" s="44" t="s">
        <v>74</v>
      </c>
      <c r="S442" s="44" t="s">
        <v>74</v>
      </c>
      <c r="T442" s="44" t="s">
        <v>74</v>
      </c>
      <c r="U442" s="44" t="s">
        <v>74</v>
      </c>
      <c r="V442" s="44" t="s">
        <v>74</v>
      </c>
      <c r="W442" s="44" t="s">
        <v>74</v>
      </c>
      <c r="X442" s="44" t="s">
        <v>74</v>
      </c>
      <c r="Y442" s="44" t="s">
        <v>74</v>
      </c>
      <c r="Z442" s="44" t="s">
        <v>74</v>
      </c>
      <c r="AA442" s="44" t="s">
        <v>74</v>
      </c>
      <c r="AB442" s="44" t="s">
        <v>74</v>
      </c>
      <c r="AC442" s="44" t="s">
        <v>74</v>
      </c>
      <c r="AD442" s="44" t="s">
        <v>74</v>
      </c>
      <c r="AE442" s="44" t="s">
        <v>74</v>
      </c>
      <c r="AF442" s="44" t="s">
        <v>74</v>
      </c>
      <c r="AG442" s="44" t="s">
        <v>74</v>
      </c>
      <c r="AH442" s="44" t="s">
        <v>74</v>
      </c>
      <c r="AI442" s="44" t="s">
        <v>74</v>
      </c>
      <c r="AJ442" s="44" t="s">
        <v>74</v>
      </c>
      <c r="AK442" s="44" t="s">
        <v>74</v>
      </c>
      <c r="AL442" s="44" t="s">
        <v>74</v>
      </c>
      <c r="AM442" s="44" t="s">
        <v>74</v>
      </c>
      <c r="AN442" s="44" t="s">
        <v>74</v>
      </c>
      <c r="AO442" s="44" t="s">
        <v>74</v>
      </c>
      <c r="AP442" s="44" t="s">
        <v>74</v>
      </c>
      <c r="AQ442" s="44" t="s">
        <v>74</v>
      </c>
      <c r="AR442" s="44" t="s">
        <v>74</v>
      </c>
      <c r="AS442" s="44" t="s">
        <v>74</v>
      </c>
      <c r="AT442" s="44" t="s">
        <v>74</v>
      </c>
      <c r="AU442" s="44" t="s">
        <v>74</v>
      </c>
      <c r="AV442" s="44" t="s">
        <v>74</v>
      </c>
      <c r="AW442" s="44" t="s">
        <v>74</v>
      </c>
      <c r="AX442" s="62" t="s">
        <v>74</v>
      </c>
      <c r="AY442" s="62" t="s">
        <v>74</v>
      </c>
      <c r="AZ442" s="62" t="s">
        <v>74</v>
      </c>
      <c r="BA442" s="62" t="s">
        <v>74</v>
      </c>
      <c r="BB442" s="62" t="s">
        <v>74</v>
      </c>
      <c r="BC442" s="62" t="s">
        <v>74</v>
      </c>
      <c r="BD442" s="62" t="s">
        <v>74</v>
      </c>
      <c r="BE442" s="44" t="s">
        <v>74</v>
      </c>
      <c r="BF442" s="44" t="s">
        <v>74</v>
      </c>
      <c r="BG442" s="62" t="s">
        <v>74</v>
      </c>
      <c r="BH442" s="62" t="s">
        <v>74</v>
      </c>
      <c r="BI442" s="44" t="s">
        <v>74</v>
      </c>
      <c r="BJ442" s="44" t="s">
        <v>74</v>
      </c>
      <c r="BK442" s="44" t="s">
        <v>74</v>
      </c>
      <c r="BL442" s="45" t="s">
        <v>74</v>
      </c>
      <c r="BM442" s="45" t="s">
        <v>74</v>
      </c>
      <c r="BN442" s="44" t="s">
        <v>74</v>
      </c>
      <c r="BO442" s="62" t="s">
        <v>74</v>
      </c>
      <c r="BP442" s="62" t="s">
        <v>74</v>
      </c>
      <c r="BQ442" s="62" t="s">
        <v>74</v>
      </c>
      <c r="BR442" s="62" t="s">
        <v>74</v>
      </c>
      <c r="BS442" s="53" t="s">
        <v>74</v>
      </c>
      <c r="BT442" s="44" t="s">
        <v>74</v>
      </c>
      <c r="BU442" s="44" t="s">
        <v>74</v>
      </c>
      <c r="BV442" s="44" t="s">
        <v>74</v>
      </c>
      <c r="BW442" s="44" t="s">
        <v>74</v>
      </c>
      <c r="BX442" s="44" t="s">
        <v>74</v>
      </c>
      <c r="BY442" s="44" t="s">
        <v>74</v>
      </c>
    </row>
    <row r="443" spans="1:77">
      <c r="A443">
        <v>0</v>
      </c>
      <c r="B443" s="60" t="s">
        <v>74</v>
      </c>
      <c r="C443" s="60" t="s">
        <v>74</v>
      </c>
      <c r="D443" s="61" t="s">
        <v>74</v>
      </c>
      <c r="E443" s="52" t="s">
        <v>74</v>
      </c>
      <c r="F443" s="52" t="s">
        <v>74</v>
      </c>
      <c r="G443" s="52" t="s">
        <v>74</v>
      </c>
      <c r="H443" s="44" t="s">
        <v>74</v>
      </c>
      <c r="I443" s="44" t="s">
        <v>74</v>
      </c>
      <c r="J443" s="44" t="s">
        <v>74</v>
      </c>
      <c r="K443" s="44" t="s">
        <v>74</v>
      </c>
      <c r="L443" s="44" t="s">
        <v>74</v>
      </c>
      <c r="M443" s="44" t="s">
        <v>74</v>
      </c>
      <c r="N443" s="44" t="s">
        <v>74</v>
      </c>
      <c r="O443" s="44" t="s">
        <v>74</v>
      </c>
      <c r="P443" s="44" t="s">
        <v>74</v>
      </c>
      <c r="Q443" s="44" t="s">
        <v>74</v>
      </c>
      <c r="R443" s="44" t="s">
        <v>74</v>
      </c>
      <c r="S443" s="44" t="s">
        <v>74</v>
      </c>
      <c r="T443" s="44" t="s">
        <v>74</v>
      </c>
      <c r="U443" s="44" t="s">
        <v>74</v>
      </c>
      <c r="V443" s="44" t="s">
        <v>74</v>
      </c>
      <c r="W443" s="44" t="s">
        <v>74</v>
      </c>
      <c r="X443" s="44" t="s">
        <v>74</v>
      </c>
      <c r="Y443" s="44" t="s">
        <v>74</v>
      </c>
      <c r="Z443" s="44" t="s">
        <v>74</v>
      </c>
      <c r="AA443" s="44" t="s">
        <v>74</v>
      </c>
      <c r="AB443" s="44" t="s">
        <v>74</v>
      </c>
      <c r="AC443" s="44" t="s">
        <v>74</v>
      </c>
      <c r="AD443" s="44" t="s">
        <v>74</v>
      </c>
      <c r="AE443" s="44" t="s">
        <v>74</v>
      </c>
      <c r="AF443" s="44" t="s">
        <v>74</v>
      </c>
      <c r="AG443" s="44" t="s">
        <v>74</v>
      </c>
      <c r="AH443" s="44" t="s">
        <v>74</v>
      </c>
      <c r="AI443" s="44" t="s">
        <v>74</v>
      </c>
      <c r="AJ443" s="44" t="s">
        <v>74</v>
      </c>
      <c r="AK443" s="44" t="s">
        <v>74</v>
      </c>
      <c r="AL443" s="44" t="s">
        <v>74</v>
      </c>
      <c r="AM443" s="44" t="s">
        <v>74</v>
      </c>
      <c r="AN443" s="44" t="s">
        <v>74</v>
      </c>
      <c r="AO443" s="44" t="s">
        <v>74</v>
      </c>
      <c r="AP443" s="44" t="s">
        <v>74</v>
      </c>
      <c r="AQ443" s="44" t="s">
        <v>74</v>
      </c>
      <c r="AR443" s="44" t="s">
        <v>74</v>
      </c>
      <c r="AS443" s="44" t="s">
        <v>74</v>
      </c>
      <c r="AT443" s="44" t="s">
        <v>74</v>
      </c>
      <c r="AU443" s="44" t="s">
        <v>74</v>
      </c>
      <c r="AV443" s="44" t="s">
        <v>74</v>
      </c>
      <c r="AW443" s="44" t="s">
        <v>74</v>
      </c>
      <c r="AX443" s="62" t="s">
        <v>74</v>
      </c>
      <c r="AY443" s="62" t="s">
        <v>74</v>
      </c>
      <c r="AZ443" s="62" t="s">
        <v>74</v>
      </c>
      <c r="BA443" s="62" t="s">
        <v>74</v>
      </c>
      <c r="BB443" s="62" t="s">
        <v>74</v>
      </c>
      <c r="BC443" s="62" t="s">
        <v>74</v>
      </c>
      <c r="BD443" s="62" t="s">
        <v>74</v>
      </c>
      <c r="BE443" s="44" t="s">
        <v>74</v>
      </c>
      <c r="BF443" s="44" t="s">
        <v>74</v>
      </c>
      <c r="BG443" s="62" t="s">
        <v>74</v>
      </c>
      <c r="BH443" s="62" t="s">
        <v>74</v>
      </c>
      <c r="BI443" s="44" t="s">
        <v>74</v>
      </c>
      <c r="BJ443" s="44" t="s">
        <v>74</v>
      </c>
      <c r="BK443" s="44" t="s">
        <v>74</v>
      </c>
      <c r="BL443" s="45" t="s">
        <v>74</v>
      </c>
      <c r="BM443" s="45" t="s">
        <v>74</v>
      </c>
      <c r="BN443" s="44" t="s">
        <v>74</v>
      </c>
      <c r="BO443" s="62" t="s">
        <v>74</v>
      </c>
      <c r="BP443" s="62" t="s">
        <v>74</v>
      </c>
      <c r="BQ443" s="62" t="s">
        <v>74</v>
      </c>
      <c r="BR443" s="62" t="s">
        <v>74</v>
      </c>
      <c r="BS443" s="53" t="s">
        <v>74</v>
      </c>
      <c r="BT443" s="44" t="s">
        <v>74</v>
      </c>
      <c r="BU443" s="44" t="s">
        <v>74</v>
      </c>
      <c r="BV443" s="44" t="s">
        <v>74</v>
      </c>
      <c r="BW443" s="44" t="s">
        <v>74</v>
      </c>
      <c r="BX443" s="44" t="s">
        <v>74</v>
      </c>
      <c r="BY443" s="44" t="s">
        <v>74</v>
      </c>
    </row>
    <row r="444" spans="1:77">
      <c r="A444">
        <v>0</v>
      </c>
      <c r="B444" s="60" t="s">
        <v>74</v>
      </c>
      <c r="C444" s="60" t="s">
        <v>74</v>
      </c>
      <c r="D444" s="61" t="s">
        <v>74</v>
      </c>
      <c r="E444" s="52" t="s">
        <v>74</v>
      </c>
      <c r="F444" s="52" t="s">
        <v>74</v>
      </c>
      <c r="G444" s="52" t="s">
        <v>74</v>
      </c>
      <c r="H444" s="44" t="s">
        <v>74</v>
      </c>
      <c r="I444" s="44" t="s">
        <v>74</v>
      </c>
      <c r="J444" s="44" t="s">
        <v>74</v>
      </c>
      <c r="K444" s="44" t="s">
        <v>74</v>
      </c>
      <c r="L444" s="44" t="s">
        <v>74</v>
      </c>
      <c r="M444" s="44" t="s">
        <v>74</v>
      </c>
      <c r="N444" s="44" t="s">
        <v>74</v>
      </c>
      <c r="O444" s="44" t="s">
        <v>74</v>
      </c>
      <c r="P444" s="44" t="s">
        <v>74</v>
      </c>
      <c r="Q444" s="44" t="s">
        <v>74</v>
      </c>
      <c r="R444" s="44" t="s">
        <v>74</v>
      </c>
      <c r="S444" s="44" t="s">
        <v>74</v>
      </c>
      <c r="T444" s="44" t="s">
        <v>74</v>
      </c>
      <c r="U444" s="44" t="s">
        <v>74</v>
      </c>
      <c r="V444" s="44" t="s">
        <v>74</v>
      </c>
      <c r="W444" s="44" t="s">
        <v>74</v>
      </c>
      <c r="X444" s="44" t="s">
        <v>74</v>
      </c>
      <c r="Y444" s="44" t="s">
        <v>74</v>
      </c>
      <c r="Z444" s="44" t="s">
        <v>74</v>
      </c>
      <c r="AA444" s="44" t="s">
        <v>74</v>
      </c>
      <c r="AB444" s="44" t="s">
        <v>74</v>
      </c>
      <c r="AC444" s="44" t="s">
        <v>74</v>
      </c>
      <c r="AD444" s="44" t="s">
        <v>74</v>
      </c>
      <c r="AE444" s="44" t="s">
        <v>74</v>
      </c>
      <c r="AF444" s="44" t="s">
        <v>74</v>
      </c>
      <c r="AG444" s="44" t="s">
        <v>74</v>
      </c>
      <c r="AH444" s="44" t="s">
        <v>74</v>
      </c>
      <c r="AI444" s="44" t="s">
        <v>74</v>
      </c>
      <c r="AJ444" s="44" t="s">
        <v>74</v>
      </c>
      <c r="AK444" s="44" t="s">
        <v>74</v>
      </c>
      <c r="AL444" s="44" t="s">
        <v>74</v>
      </c>
      <c r="AM444" s="44" t="s">
        <v>74</v>
      </c>
      <c r="AN444" s="44" t="s">
        <v>74</v>
      </c>
      <c r="AO444" s="44" t="s">
        <v>74</v>
      </c>
      <c r="AP444" s="44" t="s">
        <v>74</v>
      </c>
      <c r="AQ444" s="44" t="s">
        <v>74</v>
      </c>
      <c r="AR444" s="44" t="s">
        <v>74</v>
      </c>
      <c r="AS444" s="44" t="s">
        <v>74</v>
      </c>
      <c r="AT444" s="44" t="s">
        <v>74</v>
      </c>
      <c r="AU444" s="44" t="s">
        <v>74</v>
      </c>
      <c r="AV444" s="44" t="s">
        <v>74</v>
      </c>
      <c r="AW444" s="44" t="s">
        <v>74</v>
      </c>
      <c r="AX444" s="62" t="s">
        <v>74</v>
      </c>
      <c r="AY444" s="62" t="s">
        <v>74</v>
      </c>
      <c r="AZ444" s="62" t="s">
        <v>74</v>
      </c>
      <c r="BA444" s="62" t="s">
        <v>74</v>
      </c>
      <c r="BB444" s="62" t="s">
        <v>74</v>
      </c>
      <c r="BC444" s="62" t="s">
        <v>74</v>
      </c>
      <c r="BD444" s="62" t="s">
        <v>74</v>
      </c>
      <c r="BE444" s="44" t="s">
        <v>74</v>
      </c>
      <c r="BF444" s="44" t="s">
        <v>74</v>
      </c>
      <c r="BG444" s="62" t="s">
        <v>74</v>
      </c>
      <c r="BH444" s="62" t="s">
        <v>74</v>
      </c>
      <c r="BI444" s="44" t="s">
        <v>74</v>
      </c>
      <c r="BJ444" s="44" t="s">
        <v>74</v>
      </c>
      <c r="BK444" s="44" t="s">
        <v>74</v>
      </c>
      <c r="BL444" s="45" t="s">
        <v>74</v>
      </c>
      <c r="BM444" s="45" t="s">
        <v>74</v>
      </c>
      <c r="BN444" s="44" t="s">
        <v>74</v>
      </c>
      <c r="BO444" s="62" t="s">
        <v>74</v>
      </c>
      <c r="BP444" s="62" t="s">
        <v>74</v>
      </c>
      <c r="BQ444" s="62" t="s">
        <v>74</v>
      </c>
      <c r="BR444" s="62" t="s">
        <v>74</v>
      </c>
      <c r="BS444" s="53" t="s">
        <v>74</v>
      </c>
      <c r="BT444" s="44" t="s">
        <v>74</v>
      </c>
      <c r="BU444" s="44" t="s">
        <v>74</v>
      </c>
      <c r="BV444" s="44" t="s">
        <v>74</v>
      </c>
      <c r="BW444" s="44" t="s">
        <v>74</v>
      </c>
      <c r="BX444" s="44" t="s">
        <v>74</v>
      </c>
      <c r="BY444" s="44" t="s">
        <v>74</v>
      </c>
    </row>
    <row r="445" spans="1:77">
      <c r="A445">
        <v>0</v>
      </c>
      <c r="B445" s="60" t="s">
        <v>74</v>
      </c>
      <c r="C445" s="60" t="s">
        <v>74</v>
      </c>
      <c r="D445" s="61" t="s">
        <v>74</v>
      </c>
      <c r="E445" s="52" t="s">
        <v>74</v>
      </c>
      <c r="F445" s="52" t="s">
        <v>74</v>
      </c>
      <c r="G445" s="52" t="s">
        <v>74</v>
      </c>
      <c r="H445" s="44" t="s">
        <v>74</v>
      </c>
      <c r="I445" s="44" t="s">
        <v>74</v>
      </c>
      <c r="J445" s="44" t="s">
        <v>74</v>
      </c>
      <c r="K445" s="44" t="s">
        <v>74</v>
      </c>
      <c r="L445" s="44" t="s">
        <v>74</v>
      </c>
      <c r="M445" s="44" t="s">
        <v>74</v>
      </c>
      <c r="N445" s="44" t="s">
        <v>74</v>
      </c>
      <c r="O445" s="44" t="s">
        <v>74</v>
      </c>
      <c r="P445" s="44" t="s">
        <v>74</v>
      </c>
      <c r="Q445" s="44" t="s">
        <v>74</v>
      </c>
      <c r="R445" s="44" t="s">
        <v>74</v>
      </c>
      <c r="S445" s="44" t="s">
        <v>74</v>
      </c>
      <c r="T445" s="44" t="s">
        <v>74</v>
      </c>
      <c r="U445" s="44" t="s">
        <v>74</v>
      </c>
      <c r="V445" s="44" t="s">
        <v>74</v>
      </c>
      <c r="W445" s="44" t="s">
        <v>74</v>
      </c>
      <c r="X445" s="44" t="s">
        <v>74</v>
      </c>
      <c r="Y445" s="44" t="s">
        <v>74</v>
      </c>
      <c r="Z445" s="44" t="s">
        <v>74</v>
      </c>
      <c r="AA445" s="44" t="s">
        <v>74</v>
      </c>
      <c r="AB445" s="44" t="s">
        <v>74</v>
      </c>
      <c r="AC445" s="44" t="s">
        <v>74</v>
      </c>
      <c r="AD445" s="44" t="s">
        <v>74</v>
      </c>
      <c r="AE445" s="44" t="s">
        <v>74</v>
      </c>
      <c r="AF445" s="44" t="s">
        <v>74</v>
      </c>
      <c r="AG445" s="44" t="s">
        <v>74</v>
      </c>
      <c r="AH445" s="44" t="s">
        <v>74</v>
      </c>
      <c r="AI445" s="44" t="s">
        <v>74</v>
      </c>
      <c r="AJ445" s="44" t="s">
        <v>74</v>
      </c>
      <c r="AK445" s="44" t="s">
        <v>74</v>
      </c>
      <c r="AL445" s="44" t="s">
        <v>74</v>
      </c>
      <c r="AM445" s="44" t="s">
        <v>74</v>
      </c>
      <c r="AN445" s="44" t="s">
        <v>74</v>
      </c>
      <c r="AO445" s="44" t="s">
        <v>74</v>
      </c>
      <c r="AP445" s="44" t="s">
        <v>74</v>
      </c>
      <c r="AQ445" s="44" t="s">
        <v>74</v>
      </c>
      <c r="AR445" s="44" t="s">
        <v>74</v>
      </c>
      <c r="AS445" s="44" t="s">
        <v>74</v>
      </c>
      <c r="AT445" s="44" t="s">
        <v>74</v>
      </c>
      <c r="AU445" s="44" t="s">
        <v>74</v>
      </c>
      <c r="AV445" s="44" t="s">
        <v>74</v>
      </c>
      <c r="AW445" s="44" t="s">
        <v>74</v>
      </c>
      <c r="AX445" s="62" t="s">
        <v>74</v>
      </c>
      <c r="AY445" s="62" t="s">
        <v>74</v>
      </c>
      <c r="AZ445" s="62" t="s">
        <v>74</v>
      </c>
      <c r="BA445" s="62" t="s">
        <v>74</v>
      </c>
      <c r="BB445" s="62" t="s">
        <v>74</v>
      </c>
      <c r="BC445" s="62" t="s">
        <v>74</v>
      </c>
      <c r="BD445" s="62" t="s">
        <v>74</v>
      </c>
      <c r="BE445" s="44" t="s">
        <v>74</v>
      </c>
      <c r="BF445" s="44" t="s">
        <v>74</v>
      </c>
      <c r="BG445" s="62" t="s">
        <v>74</v>
      </c>
      <c r="BH445" s="62" t="s">
        <v>74</v>
      </c>
      <c r="BI445" s="44" t="s">
        <v>74</v>
      </c>
      <c r="BJ445" s="44" t="s">
        <v>74</v>
      </c>
      <c r="BK445" s="44" t="s">
        <v>74</v>
      </c>
      <c r="BL445" s="45" t="s">
        <v>74</v>
      </c>
      <c r="BM445" s="45" t="s">
        <v>74</v>
      </c>
      <c r="BN445" s="44" t="s">
        <v>74</v>
      </c>
      <c r="BO445" s="62" t="s">
        <v>74</v>
      </c>
      <c r="BP445" s="62" t="s">
        <v>74</v>
      </c>
      <c r="BQ445" s="62" t="s">
        <v>74</v>
      </c>
      <c r="BR445" s="62" t="s">
        <v>74</v>
      </c>
      <c r="BS445" s="53" t="s">
        <v>74</v>
      </c>
      <c r="BT445" s="44" t="s">
        <v>74</v>
      </c>
      <c r="BU445" s="44" t="s">
        <v>74</v>
      </c>
      <c r="BV445" s="44" t="s">
        <v>74</v>
      </c>
      <c r="BW445" s="44" t="s">
        <v>74</v>
      </c>
      <c r="BX445" s="44" t="s">
        <v>74</v>
      </c>
      <c r="BY445" s="44" t="s">
        <v>74</v>
      </c>
    </row>
    <row r="446" spans="1:77">
      <c r="A446">
        <v>0</v>
      </c>
      <c r="B446" s="60" t="s">
        <v>74</v>
      </c>
      <c r="C446" s="60" t="s">
        <v>74</v>
      </c>
      <c r="D446" s="61" t="s">
        <v>74</v>
      </c>
      <c r="E446" s="52" t="s">
        <v>74</v>
      </c>
      <c r="F446" s="52" t="s">
        <v>74</v>
      </c>
      <c r="G446" s="52" t="s">
        <v>74</v>
      </c>
      <c r="H446" s="44" t="s">
        <v>74</v>
      </c>
      <c r="I446" s="44" t="s">
        <v>74</v>
      </c>
      <c r="J446" s="44" t="s">
        <v>74</v>
      </c>
      <c r="K446" s="44" t="s">
        <v>74</v>
      </c>
      <c r="L446" s="44" t="s">
        <v>74</v>
      </c>
      <c r="M446" s="44" t="s">
        <v>74</v>
      </c>
      <c r="N446" s="44" t="s">
        <v>74</v>
      </c>
      <c r="O446" s="44" t="s">
        <v>74</v>
      </c>
      <c r="P446" s="44" t="s">
        <v>74</v>
      </c>
      <c r="Q446" s="44" t="s">
        <v>74</v>
      </c>
      <c r="R446" s="44" t="s">
        <v>74</v>
      </c>
      <c r="S446" s="44" t="s">
        <v>74</v>
      </c>
      <c r="T446" s="44" t="s">
        <v>74</v>
      </c>
      <c r="U446" s="44" t="s">
        <v>74</v>
      </c>
      <c r="V446" s="44" t="s">
        <v>74</v>
      </c>
      <c r="W446" s="44" t="s">
        <v>74</v>
      </c>
      <c r="X446" s="44" t="s">
        <v>74</v>
      </c>
      <c r="Y446" s="44" t="s">
        <v>74</v>
      </c>
      <c r="Z446" s="44" t="s">
        <v>74</v>
      </c>
      <c r="AA446" s="44" t="s">
        <v>74</v>
      </c>
      <c r="AB446" s="44" t="s">
        <v>74</v>
      </c>
      <c r="AC446" s="44" t="s">
        <v>74</v>
      </c>
      <c r="AD446" s="44" t="s">
        <v>74</v>
      </c>
      <c r="AE446" s="44" t="s">
        <v>74</v>
      </c>
      <c r="AF446" s="44" t="s">
        <v>74</v>
      </c>
      <c r="AG446" s="44" t="s">
        <v>74</v>
      </c>
      <c r="AH446" s="44" t="s">
        <v>74</v>
      </c>
      <c r="AI446" s="44" t="s">
        <v>74</v>
      </c>
      <c r="AJ446" s="44" t="s">
        <v>74</v>
      </c>
      <c r="AK446" s="44" t="s">
        <v>74</v>
      </c>
      <c r="AL446" s="44" t="s">
        <v>74</v>
      </c>
      <c r="AM446" s="44" t="s">
        <v>74</v>
      </c>
      <c r="AN446" s="44" t="s">
        <v>74</v>
      </c>
      <c r="AO446" s="44" t="s">
        <v>74</v>
      </c>
      <c r="AP446" s="44" t="s">
        <v>74</v>
      </c>
      <c r="AQ446" s="44" t="s">
        <v>74</v>
      </c>
      <c r="AR446" s="44" t="s">
        <v>74</v>
      </c>
      <c r="AS446" s="44" t="s">
        <v>74</v>
      </c>
      <c r="AT446" s="44" t="s">
        <v>74</v>
      </c>
      <c r="AU446" s="44" t="s">
        <v>74</v>
      </c>
      <c r="AV446" s="44" t="s">
        <v>74</v>
      </c>
      <c r="AW446" s="44" t="s">
        <v>74</v>
      </c>
      <c r="AX446" s="62" t="s">
        <v>74</v>
      </c>
      <c r="AY446" s="62" t="s">
        <v>74</v>
      </c>
      <c r="AZ446" s="62" t="s">
        <v>74</v>
      </c>
      <c r="BA446" s="62" t="s">
        <v>74</v>
      </c>
      <c r="BB446" s="62" t="s">
        <v>74</v>
      </c>
      <c r="BC446" s="62" t="s">
        <v>74</v>
      </c>
      <c r="BD446" s="62" t="s">
        <v>74</v>
      </c>
      <c r="BE446" s="44" t="s">
        <v>74</v>
      </c>
      <c r="BF446" s="44" t="s">
        <v>74</v>
      </c>
      <c r="BG446" s="62" t="s">
        <v>74</v>
      </c>
      <c r="BH446" s="62" t="s">
        <v>74</v>
      </c>
      <c r="BI446" s="44" t="s">
        <v>74</v>
      </c>
      <c r="BJ446" s="44" t="s">
        <v>74</v>
      </c>
      <c r="BK446" s="44" t="s">
        <v>74</v>
      </c>
      <c r="BL446" s="45" t="s">
        <v>74</v>
      </c>
      <c r="BM446" s="45" t="s">
        <v>74</v>
      </c>
      <c r="BN446" s="44" t="s">
        <v>74</v>
      </c>
      <c r="BO446" s="62" t="s">
        <v>74</v>
      </c>
      <c r="BP446" s="62" t="s">
        <v>74</v>
      </c>
      <c r="BQ446" s="62" t="s">
        <v>74</v>
      </c>
      <c r="BR446" s="62" t="s">
        <v>74</v>
      </c>
      <c r="BS446" s="53" t="s">
        <v>74</v>
      </c>
      <c r="BT446" s="44" t="s">
        <v>74</v>
      </c>
      <c r="BU446" s="44" t="s">
        <v>74</v>
      </c>
      <c r="BV446" s="44" t="s">
        <v>74</v>
      </c>
      <c r="BW446" s="44" t="s">
        <v>74</v>
      </c>
      <c r="BX446" s="44" t="s">
        <v>74</v>
      </c>
      <c r="BY446" s="44" t="s">
        <v>74</v>
      </c>
    </row>
    <row r="447" spans="1:77">
      <c r="A447">
        <v>0</v>
      </c>
      <c r="B447" s="60" t="s">
        <v>74</v>
      </c>
      <c r="C447" s="60" t="s">
        <v>74</v>
      </c>
      <c r="D447" s="61" t="s">
        <v>74</v>
      </c>
      <c r="E447" s="52" t="s">
        <v>74</v>
      </c>
      <c r="F447" s="52" t="s">
        <v>74</v>
      </c>
      <c r="G447" s="52" t="s">
        <v>74</v>
      </c>
      <c r="H447" s="44" t="s">
        <v>74</v>
      </c>
      <c r="I447" s="44" t="s">
        <v>74</v>
      </c>
      <c r="J447" s="44" t="s">
        <v>74</v>
      </c>
      <c r="K447" s="44" t="s">
        <v>74</v>
      </c>
      <c r="L447" s="44" t="s">
        <v>74</v>
      </c>
      <c r="M447" s="44" t="s">
        <v>74</v>
      </c>
      <c r="N447" s="44" t="s">
        <v>74</v>
      </c>
      <c r="O447" s="44" t="s">
        <v>74</v>
      </c>
      <c r="P447" s="44" t="s">
        <v>74</v>
      </c>
      <c r="Q447" s="44" t="s">
        <v>74</v>
      </c>
      <c r="R447" s="44" t="s">
        <v>74</v>
      </c>
      <c r="S447" s="44" t="s">
        <v>74</v>
      </c>
      <c r="T447" s="44" t="s">
        <v>74</v>
      </c>
      <c r="U447" s="44" t="s">
        <v>74</v>
      </c>
      <c r="V447" s="44" t="s">
        <v>74</v>
      </c>
      <c r="W447" s="44" t="s">
        <v>74</v>
      </c>
      <c r="X447" s="44" t="s">
        <v>74</v>
      </c>
      <c r="Y447" s="44" t="s">
        <v>74</v>
      </c>
      <c r="Z447" s="44" t="s">
        <v>74</v>
      </c>
      <c r="AA447" s="44" t="s">
        <v>74</v>
      </c>
      <c r="AB447" s="44" t="s">
        <v>74</v>
      </c>
      <c r="AC447" s="44" t="s">
        <v>74</v>
      </c>
      <c r="AD447" s="44" t="s">
        <v>74</v>
      </c>
      <c r="AE447" s="44" t="s">
        <v>74</v>
      </c>
      <c r="AF447" s="44" t="s">
        <v>74</v>
      </c>
      <c r="AG447" s="44" t="s">
        <v>74</v>
      </c>
      <c r="AH447" s="44" t="s">
        <v>74</v>
      </c>
      <c r="AI447" s="44" t="s">
        <v>74</v>
      </c>
      <c r="AJ447" s="44" t="s">
        <v>74</v>
      </c>
      <c r="AK447" s="44" t="s">
        <v>74</v>
      </c>
      <c r="AL447" s="44" t="s">
        <v>74</v>
      </c>
      <c r="AM447" s="44" t="s">
        <v>74</v>
      </c>
      <c r="AN447" s="44" t="s">
        <v>74</v>
      </c>
      <c r="AO447" s="44" t="s">
        <v>74</v>
      </c>
      <c r="AP447" s="44" t="s">
        <v>74</v>
      </c>
      <c r="AQ447" s="44" t="s">
        <v>74</v>
      </c>
      <c r="AR447" s="44" t="s">
        <v>74</v>
      </c>
      <c r="AS447" s="44" t="s">
        <v>74</v>
      </c>
      <c r="AT447" s="44" t="s">
        <v>74</v>
      </c>
      <c r="AU447" s="44" t="s">
        <v>74</v>
      </c>
      <c r="AV447" s="44" t="s">
        <v>74</v>
      </c>
      <c r="AW447" s="44" t="s">
        <v>74</v>
      </c>
      <c r="AX447" s="62" t="s">
        <v>74</v>
      </c>
      <c r="AY447" s="62" t="s">
        <v>74</v>
      </c>
      <c r="AZ447" s="62" t="s">
        <v>74</v>
      </c>
      <c r="BA447" s="62" t="s">
        <v>74</v>
      </c>
      <c r="BB447" s="62" t="s">
        <v>74</v>
      </c>
      <c r="BC447" s="62" t="s">
        <v>74</v>
      </c>
      <c r="BD447" s="62" t="s">
        <v>74</v>
      </c>
      <c r="BE447" s="44" t="s">
        <v>74</v>
      </c>
      <c r="BF447" s="44" t="s">
        <v>74</v>
      </c>
      <c r="BG447" s="62" t="s">
        <v>74</v>
      </c>
      <c r="BH447" s="62" t="s">
        <v>74</v>
      </c>
      <c r="BI447" s="44" t="s">
        <v>74</v>
      </c>
      <c r="BJ447" s="44" t="s">
        <v>74</v>
      </c>
      <c r="BK447" s="44" t="s">
        <v>74</v>
      </c>
      <c r="BL447" s="45" t="s">
        <v>74</v>
      </c>
      <c r="BM447" s="45" t="s">
        <v>74</v>
      </c>
      <c r="BN447" s="44" t="s">
        <v>74</v>
      </c>
      <c r="BO447" s="62" t="s">
        <v>74</v>
      </c>
      <c r="BP447" s="62" t="s">
        <v>74</v>
      </c>
      <c r="BQ447" s="62" t="s">
        <v>74</v>
      </c>
      <c r="BR447" s="62" t="s">
        <v>74</v>
      </c>
      <c r="BS447" s="53" t="s">
        <v>74</v>
      </c>
      <c r="BT447" s="44" t="s">
        <v>74</v>
      </c>
      <c r="BU447" s="44" t="s">
        <v>74</v>
      </c>
      <c r="BV447" s="44" t="s">
        <v>74</v>
      </c>
      <c r="BW447" s="44" t="s">
        <v>74</v>
      </c>
      <c r="BX447" s="44" t="s">
        <v>74</v>
      </c>
      <c r="BY447" s="44" t="s">
        <v>74</v>
      </c>
    </row>
    <row r="448" spans="1:77">
      <c r="A448">
        <v>0</v>
      </c>
      <c r="B448" s="60" t="s">
        <v>74</v>
      </c>
      <c r="C448" s="60" t="s">
        <v>74</v>
      </c>
      <c r="D448" s="61" t="s">
        <v>74</v>
      </c>
      <c r="E448" s="52" t="s">
        <v>74</v>
      </c>
      <c r="F448" s="52" t="s">
        <v>74</v>
      </c>
      <c r="G448" s="52" t="s">
        <v>74</v>
      </c>
      <c r="H448" s="44" t="s">
        <v>74</v>
      </c>
      <c r="I448" s="44" t="s">
        <v>74</v>
      </c>
      <c r="J448" s="44" t="s">
        <v>74</v>
      </c>
      <c r="K448" s="44" t="s">
        <v>74</v>
      </c>
      <c r="L448" s="44" t="s">
        <v>74</v>
      </c>
      <c r="M448" s="44" t="s">
        <v>74</v>
      </c>
      <c r="N448" s="44" t="s">
        <v>74</v>
      </c>
      <c r="O448" s="44" t="s">
        <v>74</v>
      </c>
      <c r="P448" s="44" t="s">
        <v>74</v>
      </c>
      <c r="Q448" s="44" t="s">
        <v>74</v>
      </c>
      <c r="R448" s="44" t="s">
        <v>74</v>
      </c>
      <c r="S448" s="44" t="s">
        <v>74</v>
      </c>
      <c r="T448" s="44" t="s">
        <v>74</v>
      </c>
      <c r="U448" s="44" t="s">
        <v>74</v>
      </c>
      <c r="V448" s="44" t="s">
        <v>74</v>
      </c>
      <c r="W448" s="44" t="s">
        <v>74</v>
      </c>
      <c r="X448" s="44" t="s">
        <v>74</v>
      </c>
      <c r="Y448" s="44" t="s">
        <v>74</v>
      </c>
      <c r="Z448" s="44" t="s">
        <v>74</v>
      </c>
      <c r="AA448" s="44" t="s">
        <v>74</v>
      </c>
      <c r="AB448" s="44" t="s">
        <v>74</v>
      </c>
      <c r="AC448" s="44" t="s">
        <v>74</v>
      </c>
      <c r="AD448" s="44" t="s">
        <v>74</v>
      </c>
      <c r="AE448" s="44" t="s">
        <v>74</v>
      </c>
      <c r="AF448" s="44" t="s">
        <v>74</v>
      </c>
      <c r="AG448" s="44" t="s">
        <v>74</v>
      </c>
      <c r="AH448" s="44" t="s">
        <v>74</v>
      </c>
      <c r="AI448" s="44" t="s">
        <v>74</v>
      </c>
      <c r="AJ448" s="44" t="s">
        <v>74</v>
      </c>
      <c r="AK448" s="44" t="s">
        <v>74</v>
      </c>
      <c r="AL448" s="44" t="s">
        <v>74</v>
      </c>
      <c r="AM448" s="44" t="s">
        <v>74</v>
      </c>
      <c r="AN448" s="44" t="s">
        <v>74</v>
      </c>
      <c r="AO448" s="44" t="s">
        <v>74</v>
      </c>
      <c r="AP448" s="44" t="s">
        <v>74</v>
      </c>
      <c r="AQ448" s="44" t="s">
        <v>74</v>
      </c>
      <c r="AR448" s="44" t="s">
        <v>74</v>
      </c>
      <c r="AS448" s="44" t="s">
        <v>74</v>
      </c>
      <c r="AT448" s="44" t="s">
        <v>74</v>
      </c>
      <c r="AU448" s="44" t="s">
        <v>74</v>
      </c>
      <c r="AV448" s="44" t="s">
        <v>74</v>
      </c>
      <c r="AW448" s="44" t="s">
        <v>74</v>
      </c>
      <c r="AX448" s="62" t="s">
        <v>74</v>
      </c>
      <c r="AY448" s="62" t="s">
        <v>74</v>
      </c>
      <c r="AZ448" s="62" t="s">
        <v>74</v>
      </c>
      <c r="BA448" s="62" t="s">
        <v>74</v>
      </c>
      <c r="BB448" s="62" t="s">
        <v>74</v>
      </c>
      <c r="BC448" s="62" t="s">
        <v>74</v>
      </c>
      <c r="BD448" s="62" t="s">
        <v>74</v>
      </c>
      <c r="BE448" s="44" t="s">
        <v>74</v>
      </c>
      <c r="BF448" s="44" t="s">
        <v>74</v>
      </c>
      <c r="BG448" s="62" t="s">
        <v>74</v>
      </c>
      <c r="BH448" s="62" t="s">
        <v>74</v>
      </c>
      <c r="BI448" s="44" t="s">
        <v>74</v>
      </c>
      <c r="BJ448" s="44" t="s">
        <v>74</v>
      </c>
      <c r="BK448" s="44" t="s">
        <v>74</v>
      </c>
      <c r="BL448" s="45" t="s">
        <v>74</v>
      </c>
      <c r="BM448" s="45" t="s">
        <v>74</v>
      </c>
      <c r="BN448" s="44" t="s">
        <v>74</v>
      </c>
      <c r="BO448" s="62" t="s">
        <v>74</v>
      </c>
      <c r="BP448" s="62" t="s">
        <v>74</v>
      </c>
      <c r="BQ448" s="62" t="s">
        <v>74</v>
      </c>
      <c r="BR448" s="62" t="s">
        <v>74</v>
      </c>
      <c r="BS448" s="53" t="s">
        <v>74</v>
      </c>
      <c r="BT448" s="44" t="s">
        <v>74</v>
      </c>
      <c r="BU448" s="44" t="s">
        <v>74</v>
      </c>
      <c r="BV448" s="44" t="s">
        <v>74</v>
      </c>
      <c r="BW448" s="44" t="s">
        <v>74</v>
      </c>
      <c r="BX448" s="44" t="s">
        <v>74</v>
      </c>
      <c r="BY448" s="44" t="s">
        <v>74</v>
      </c>
    </row>
    <row r="449" spans="1:77">
      <c r="A449">
        <v>0</v>
      </c>
      <c r="B449" s="60" t="s">
        <v>74</v>
      </c>
      <c r="C449" s="60" t="s">
        <v>74</v>
      </c>
      <c r="D449" s="61" t="s">
        <v>74</v>
      </c>
      <c r="E449" s="52" t="s">
        <v>74</v>
      </c>
      <c r="F449" s="52" t="s">
        <v>74</v>
      </c>
      <c r="G449" s="52" t="s">
        <v>74</v>
      </c>
      <c r="H449" s="44" t="s">
        <v>74</v>
      </c>
      <c r="I449" s="44" t="s">
        <v>74</v>
      </c>
      <c r="J449" s="44" t="s">
        <v>74</v>
      </c>
      <c r="K449" s="44" t="s">
        <v>74</v>
      </c>
      <c r="L449" s="44" t="s">
        <v>74</v>
      </c>
      <c r="M449" s="44" t="s">
        <v>74</v>
      </c>
      <c r="N449" s="44" t="s">
        <v>74</v>
      </c>
      <c r="O449" s="44" t="s">
        <v>74</v>
      </c>
      <c r="P449" s="44" t="s">
        <v>74</v>
      </c>
      <c r="Q449" s="44" t="s">
        <v>74</v>
      </c>
      <c r="R449" s="44" t="s">
        <v>74</v>
      </c>
      <c r="S449" s="44" t="s">
        <v>74</v>
      </c>
      <c r="T449" s="44" t="s">
        <v>74</v>
      </c>
      <c r="U449" s="44" t="s">
        <v>74</v>
      </c>
      <c r="V449" s="44" t="s">
        <v>74</v>
      </c>
      <c r="W449" s="44" t="s">
        <v>74</v>
      </c>
      <c r="X449" s="44" t="s">
        <v>74</v>
      </c>
      <c r="Y449" s="44" t="s">
        <v>74</v>
      </c>
      <c r="Z449" s="44" t="s">
        <v>74</v>
      </c>
      <c r="AA449" s="44" t="s">
        <v>74</v>
      </c>
      <c r="AB449" s="44" t="s">
        <v>74</v>
      </c>
      <c r="AC449" s="44" t="s">
        <v>74</v>
      </c>
      <c r="AD449" s="44" t="s">
        <v>74</v>
      </c>
      <c r="AE449" s="44" t="s">
        <v>74</v>
      </c>
      <c r="AF449" s="44" t="s">
        <v>74</v>
      </c>
      <c r="AG449" s="44" t="s">
        <v>74</v>
      </c>
      <c r="AH449" s="44" t="s">
        <v>74</v>
      </c>
      <c r="AI449" s="44" t="s">
        <v>74</v>
      </c>
      <c r="AJ449" s="44" t="s">
        <v>74</v>
      </c>
      <c r="AK449" s="44" t="s">
        <v>74</v>
      </c>
      <c r="AL449" s="44" t="s">
        <v>74</v>
      </c>
      <c r="AM449" s="44" t="s">
        <v>74</v>
      </c>
      <c r="AN449" s="44" t="s">
        <v>74</v>
      </c>
      <c r="AO449" s="44" t="s">
        <v>74</v>
      </c>
      <c r="AP449" s="44" t="s">
        <v>74</v>
      </c>
      <c r="AQ449" s="44" t="s">
        <v>74</v>
      </c>
      <c r="AR449" s="44" t="s">
        <v>74</v>
      </c>
      <c r="AS449" s="44" t="s">
        <v>74</v>
      </c>
      <c r="AT449" s="44" t="s">
        <v>74</v>
      </c>
      <c r="AU449" s="44" t="s">
        <v>74</v>
      </c>
      <c r="AV449" s="44" t="s">
        <v>74</v>
      </c>
      <c r="AW449" s="44" t="s">
        <v>74</v>
      </c>
      <c r="AX449" s="62" t="s">
        <v>74</v>
      </c>
      <c r="AY449" s="62" t="s">
        <v>74</v>
      </c>
      <c r="AZ449" s="62" t="s">
        <v>74</v>
      </c>
      <c r="BA449" s="62" t="s">
        <v>74</v>
      </c>
      <c r="BB449" s="62" t="s">
        <v>74</v>
      </c>
      <c r="BC449" s="62" t="s">
        <v>74</v>
      </c>
      <c r="BD449" s="62" t="s">
        <v>74</v>
      </c>
      <c r="BE449" s="44" t="s">
        <v>74</v>
      </c>
      <c r="BF449" s="44" t="s">
        <v>74</v>
      </c>
      <c r="BG449" s="62" t="s">
        <v>74</v>
      </c>
      <c r="BH449" s="62" t="s">
        <v>74</v>
      </c>
      <c r="BI449" s="44" t="s">
        <v>74</v>
      </c>
      <c r="BJ449" s="44" t="s">
        <v>74</v>
      </c>
      <c r="BK449" s="44" t="s">
        <v>74</v>
      </c>
      <c r="BL449" s="45" t="s">
        <v>74</v>
      </c>
      <c r="BM449" s="45" t="s">
        <v>74</v>
      </c>
      <c r="BN449" s="44" t="s">
        <v>74</v>
      </c>
      <c r="BO449" s="62" t="s">
        <v>74</v>
      </c>
      <c r="BP449" s="62" t="s">
        <v>74</v>
      </c>
      <c r="BQ449" s="62" t="s">
        <v>74</v>
      </c>
      <c r="BR449" s="62" t="s">
        <v>74</v>
      </c>
      <c r="BS449" s="53" t="s">
        <v>74</v>
      </c>
      <c r="BT449" s="44" t="s">
        <v>74</v>
      </c>
      <c r="BU449" s="44" t="s">
        <v>74</v>
      </c>
      <c r="BV449" s="44" t="s">
        <v>74</v>
      </c>
      <c r="BW449" s="44" t="s">
        <v>74</v>
      </c>
      <c r="BX449" s="44" t="s">
        <v>74</v>
      </c>
      <c r="BY449" s="44" t="s">
        <v>74</v>
      </c>
    </row>
    <row r="450" spans="1:77">
      <c r="A450">
        <v>0</v>
      </c>
      <c r="B450" s="60" t="s">
        <v>74</v>
      </c>
      <c r="C450" s="60" t="s">
        <v>74</v>
      </c>
      <c r="D450" s="61" t="s">
        <v>74</v>
      </c>
      <c r="E450" s="52" t="s">
        <v>74</v>
      </c>
      <c r="F450" s="52" t="s">
        <v>74</v>
      </c>
      <c r="G450" s="52" t="s">
        <v>74</v>
      </c>
      <c r="H450" s="44" t="s">
        <v>74</v>
      </c>
      <c r="I450" s="44" t="s">
        <v>74</v>
      </c>
      <c r="J450" s="44" t="s">
        <v>74</v>
      </c>
      <c r="K450" s="44" t="s">
        <v>74</v>
      </c>
      <c r="L450" s="44" t="s">
        <v>74</v>
      </c>
      <c r="M450" s="44" t="s">
        <v>74</v>
      </c>
      <c r="N450" s="44" t="s">
        <v>74</v>
      </c>
      <c r="O450" s="44" t="s">
        <v>74</v>
      </c>
      <c r="P450" s="44" t="s">
        <v>74</v>
      </c>
      <c r="Q450" s="44" t="s">
        <v>74</v>
      </c>
      <c r="R450" s="44" t="s">
        <v>74</v>
      </c>
      <c r="S450" s="44" t="s">
        <v>74</v>
      </c>
      <c r="T450" s="44" t="s">
        <v>74</v>
      </c>
      <c r="U450" s="44" t="s">
        <v>74</v>
      </c>
      <c r="V450" s="44" t="s">
        <v>74</v>
      </c>
      <c r="W450" s="44" t="s">
        <v>74</v>
      </c>
      <c r="X450" s="44" t="s">
        <v>74</v>
      </c>
      <c r="Y450" s="44" t="s">
        <v>74</v>
      </c>
      <c r="Z450" s="44" t="s">
        <v>74</v>
      </c>
      <c r="AA450" s="44" t="s">
        <v>74</v>
      </c>
      <c r="AB450" s="44" t="s">
        <v>74</v>
      </c>
      <c r="AC450" s="44" t="s">
        <v>74</v>
      </c>
      <c r="AD450" s="44" t="s">
        <v>74</v>
      </c>
      <c r="AE450" s="44" t="s">
        <v>74</v>
      </c>
      <c r="AF450" s="44" t="s">
        <v>74</v>
      </c>
      <c r="AG450" s="44" t="s">
        <v>74</v>
      </c>
      <c r="AH450" s="44" t="s">
        <v>74</v>
      </c>
      <c r="AI450" s="44" t="s">
        <v>74</v>
      </c>
      <c r="AJ450" s="44" t="s">
        <v>74</v>
      </c>
      <c r="AK450" s="44" t="s">
        <v>74</v>
      </c>
      <c r="AL450" s="44" t="s">
        <v>74</v>
      </c>
      <c r="AM450" s="44" t="s">
        <v>74</v>
      </c>
      <c r="AN450" s="44" t="s">
        <v>74</v>
      </c>
      <c r="AO450" s="44" t="s">
        <v>74</v>
      </c>
      <c r="AP450" s="44" t="s">
        <v>74</v>
      </c>
      <c r="AQ450" s="44" t="s">
        <v>74</v>
      </c>
      <c r="AR450" s="44" t="s">
        <v>74</v>
      </c>
      <c r="AS450" s="44" t="s">
        <v>74</v>
      </c>
      <c r="AT450" s="44" t="s">
        <v>74</v>
      </c>
      <c r="AU450" s="44" t="s">
        <v>74</v>
      </c>
      <c r="AV450" s="44" t="s">
        <v>74</v>
      </c>
      <c r="AW450" s="44" t="s">
        <v>74</v>
      </c>
      <c r="AX450" s="62" t="s">
        <v>74</v>
      </c>
      <c r="AY450" s="62" t="s">
        <v>74</v>
      </c>
      <c r="AZ450" s="62" t="s">
        <v>74</v>
      </c>
      <c r="BA450" s="62" t="s">
        <v>74</v>
      </c>
      <c r="BB450" s="62" t="s">
        <v>74</v>
      </c>
      <c r="BC450" s="62" t="s">
        <v>74</v>
      </c>
      <c r="BD450" s="62" t="s">
        <v>74</v>
      </c>
      <c r="BE450" s="44" t="s">
        <v>74</v>
      </c>
      <c r="BF450" s="44" t="s">
        <v>74</v>
      </c>
      <c r="BG450" s="62" t="s">
        <v>74</v>
      </c>
      <c r="BH450" s="62" t="s">
        <v>74</v>
      </c>
      <c r="BI450" s="44" t="s">
        <v>74</v>
      </c>
      <c r="BJ450" s="44" t="s">
        <v>74</v>
      </c>
      <c r="BK450" s="44" t="s">
        <v>74</v>
      </c>
      <c r="BL450" s="45" t="s">
        <v>74</v>
      </c>
      <c r="BM450" s="45" t="s">
        <v>74</v>
      </c>
      <c r="BN450" s="44" t="s">
        <v>74</v>
      </c>
      <c r="BO450" s="62" t="s">
        <v>74</v>
      </c>
      <c r="BP450" s="62" t="s">
        <v>74</v>
      </c>
      <c r="BQ450" s="62" t="s">
        <v>74</v>
      </c>
      <c r="BR450" s="62" t="s">
        <v>74</v>
      </c>
      <c r="BS450" s="53" t="s">
        <v>74</v>
      </c>
      <c r="BT450" s="44" t="s">
        <v>74</v>
      </c>
      <c r="BU450" s="44" t="s">
        <v>74</v>
      </c>
      <c r="BV450" s="44" t="s">
        <v>74</v>
      </c>
      <c r="BW450" s="44" t="s">
        <v>74</v>
      </c>
      <c r="BX450" s="44" t="s">
        <v>74</v>
      </c>
      <c r="BY450" s="44" t="s">
        <v>74</v>
      </c>
    </row>
    <row r="451" spans="1:77">
      <c r="A451">
        <v>0</v>
      </c>
      <c r="B451" s="60" t="s">
        <v>74</v>
      </c>
      <c r="C451" s="60" t="s">
        <v>74</v>
      </c>
      <c r="D451" s="61" t="s">
        <v>74</v>
      </c>
      <c r="E451" s="52" t="s">
        <v>74</v>
      </c>
      <c r="F451" s="52" t="s">
        <v>74</v>
      </c>
      <c r="G451" s="52" t="s">
        <v>74</v>
      </c>
      <c r="H451" s="44" t="s">
        <v>74</v>
      </c>
      <c r="I451" s="44" t="s">
        <v>74</v>
      </c>
      <c r="J451" s="44" t="s">
        <v>74</v>
      </c>
      <c r="K451" s="44" t="s">
        <v>74</v>
      </c>
      <c r="L451" s="44" t="s">
        <v>74</v>
      </c>
      <c r="M451" s="44" t="s">
        <v>74</v>
      </c>
      <c r="N451" s="44" t="s">
        <v>74</v>
      </c>
      <c r="O451" s="44" t="s">
        <v>74</v>
      </c>
      <c r="P451" s="44" t="s">
        <v>74</v>
      </c>
      <c r="Q451" s="44" t="s">
        <v>74</v>
      </c>
      <c r="R451" s="44" t="s">
        <v>74</v>
      </c>
      <c r="S451" s="44" t="s">
        <v>74</v>
      </c>
      <c r="T451" s="44" t="s">
        <v>74</v>
      </c>
      <c r="U451" s="44" t="s">
        <v>74</v>
      </c>
      <c r="V451" s="44" t="s">
        <v>74</v>
      </c>
      <c r="W451" s="44" t="s">
        <v>74</v>
      </c>
      <c r="X451" s="44" t="s">
        <v>74</v>
      </c>
      <c r="Y451" s="44" t="s">
        <v>74</v>
      </c>
      <c r="Z451" s="44" t="s">
        <v>74</v>
      </c>
      <c r="AA451" s="44" t="s">
        <v>74</v>
      </c>
      <c r="AB451" s="44" t="s">
        <v>74</v>
      </c>
      <c r="AC451" s="44" t="s">
        <v>74</v>
      </c>
      <c r="AD451" s="44" t="s">
        <v>74</v>
      </c>
      <c r="AE451" s="44" t="s">
        <v>74</v>
      </c>
      <c r="AF451" s="44" t="s">
        <v>74</v>
      </c>
      <c r="AG451" s="44" t="s">
        <v>74</v>
      </c>
      <c r="AH451" s="44" t="s">
        <v>74</v>
      </c>
      <c r="AI451" s="44" t="s">
        <v>74</v>
      </c>
      <c r="AJ451" s="44" t="s">
        <v>74</v>
      </c>
      <c r="AK451" s="44" t="s">
        <v>74</v>
      </c>
      <c r="AL451" s="44" t="s">
        <v>74</v>
      </c>
      <c r="AM451" s="44" t="s">
        <v>74</v>
      </c>
      <c r="AN451" s="44" t="s">
        <v>74</v>
      </c>
      <c r="AO451" s="44" t="s">
        <v>74</v>
      </c>
      <c r="AP451" s="44" t="s">
        <v>74</v>
      </c>
      <c r="AQ451" s="44" t="s">
        <v>74</v>
      </c>
      <c r="AR451" s="44" t="s">
        <v>74</v>
      </c>
      <c r="AS451" s="44" t="s">
        <v>74</v>
      </c>
      <c r="AT451" s="44" t="s">
        <v>74</v>
      </c>
      <c r="AU451" s="44" t="s">
        <v>74</v>
      </c>
      <c r="AV451" s="44" t="s">
        <v>74</v>
      </c>
      <c r="AW451" s="44" t="s">
        <v>74</v>
      </c>
      <c r="AX451" s="62" t="s">
        <v>74</v>
      </c>
      <c r="AY451" s="62" t="s">
        <v>74</v>
      </c>
      <c r="AZ451" s="62" t="s">
        <v>74</v>
      </c>
      <c r="BA451" s="62" t="s">
        <v>74</v>
      </c>
      <c r="BB451" s="62" t="s">
        <v>74</v>
      </c>
      <c r="BC451" s="62" t="s">
        <v>74</v>
      </c>
      <c r="BD451" s="62" t="s">
        <v>74</v>
      </c>
      <c r="BE451" s="44" t="s">
        <v>74</v>
      </c>
      <c r="BF451" s="44" t="s">
        <v>74</v>
      </c>
      <c r="BG451" s="62" t="s">
        <v>74</v>
      </c>
      <c r="BH451" s="62" t="s">
        <v>74</v>
      </c>
      <c r="BI451" s="44" t="s">
        <v>74</v>
      </c>
      <c r="BJ451" s="44" t="s">
        <v>74</v>
      </c>
      <c r="BK451" s="44" t="s">
        <v>74</v>
      </c>
      <c r="BL451" s="45" t="s">
        <v>74</v>
      </c>
      <c r="BM451" s="45" t="s">
        <v>74</v>
      </c>
      <c r="BN451" s="44" t="s">
        <v>74</v>
      </c>
      <c r="BO451" s="62" t="s">
        <v>74</v>
      </c>
      <c r="BP451" s="62" t="s">
        <v>74</v>
      </c>
      <c r="BQ451" s="62" t="s">
        <v>74</v>
      </c>
      <c r="BR451" s="62" t="s">
        <v>74</v>
      </c>
      <c r="BS451" s="53" t="s">
        <v>74</v>
      </c>
      <c r="BT451" s="44" t="s">
        <v>74</v>
      </c>
      <c r="BU451" s="44" t="s">
        <v>74</v>
      </c>
      <c r="BV451" s="44" t="s">
        <v>74</v>
      </c>
      <c r="BW451" s="44" t="s">
        <v>74</v>
      </c>
      <c r="BX451" s="44" t="s">
        <v>74</v>
      </c>
      <c r="BY451" s="44" t="s">
        <v>74</v>
      </c>
    </row>
    <row r="452" spans="1:77">
      <c r="A452">
        <v>0</v>
      </c>
      <c r="B452" s="60" t="s">
        <v>74</v>
      </c>
      <c r="C452" s="60" t="s">
        <v>74</v>
      </c>
      <c r="D452" s="61" t="s">
        <v>74</v>
      </c>
      <c r="E452" s="52" t="s">
        <v>74</v>
      </c>
      <c r="F452" s="52" t="s">
        <v>74</v>
      </c>
      <c r="G452" s="52" t="s">
        <v>74</v>
      </c>
      <c r="H452" s="44" t="s">
        <v>74</v>
      </c>
      <c r="I452" s="44" t="s">
        <v>74</v>
      </c>
      <c r="J452" s="44" t="s">
        <v>74</v>
      </c>
      <c r="K452" s="44" t="s">
        <v>74</v>
      </c>
      <c r="L452" s="44" t="s">
        <v>74</v>
      </c>
      <c r="M452" s="44" t="s">
        <v>74</v>
      </c>
      <c r="N452" s="44" t="s">
        <v>74</v>
      </c>
      <c r="O452" s="44" t="s">
        <v>74</v>
      </c>
      <c r="P452" s="44" t="s">
        <v>74</v>
      </c>
      <c r="Q452" s="44" t="s">
        <v>74</v>
      </c>
      <c r="R452" s="44" t="s">
        <v>74</v>
      </c>
      <c r="S452" s="44" t="s">
        <v>74</v>
      </c>
      <c r="T452" s="44" t="s">
        <v>74</v>
      </c>
      <c r="U452" s="44" t="s">
        <v>74</v>
      </c>
      <c r="V452" s="44" t="s">
        <v>74</v>
      </c>
      <c r="W452" s="44" t="s">
        <v>74</v>
      </c>
      <c r="X452" s="44" t="s">
        <v>74</v>
      </c>
      <c r="Y452" s="44" t="s">
        <v>74</v>
      </c>
      <c r="Z452" s="44" t="s">
        <v>74</v>
      </c>
      <c r="AA452" s="44" t="s">
        <v>74</v>
      </c>
      <c r="AB452" s="44" t="s">
        <v>74</v>
      </c>
      <c r="AC452" s="44" t="s">
        <v>74</v>
      </c>
      <c r="AD452" s="44" t="s">
        <v>74</v>
      </c>
      <c r="AE452" s="44" t="s">
        <v>74</v>
      </c>
      <c r="AF452" s="44" t="s">
        <v>74</v>
      </c>
      <c r="AG452" s="44" t="s">
        <v>74</v>
      </c>
      <c r="AH452" s="44" t="s">
        <v>74</v>
      </c>
      <c r="AI452" s="44" t="s">
        <v>74</v>
      </c>
      <c r="AJ452" s="44" t="s">
        <v>74</v>
      </c>
      <c r="AK452" s="44" t="s">
        <v>74</v>
      </c>
      <c r="AL452" s="44" t="s">
        <v>74</v>
      </c>
      <c r="AM452" s="44" t="s">
        <v>74</v>
      </c>
      <c r="AN452" s="44" t="s">
        <v>74</v>
      </c>
      <c r="AO452" s="44" t="s">
        <v>74</v>
      </c>
      <c r="AP452" s="44" t="s">
        <v>74</v>
      </c>
      <c r="AQ452" s="44" t="s">
        <v>74</v>
      </c>
      <c r="AR452" s="44" t="s">
        <v>74</v>
      </c>
      <c r="AS452" s="44" t="s">
        <v>74</v>
      </c>
      <c r="AT452" s="44" t="s">
        <v>74</v>
      </c>
      <c r="AU452" s="44" t="s">
        <v>74</v>
      </c>
      <c r="AV452" s="44" t="s">
        <v>74</v>
      </c>
      <c r="AW452" s="44" t="s">
        <v>74</v>
      </c>
      <c r="AX452" s="62" t="s">
        <v>74</v>
      </c>
      <c r="AY452" s="62" t="s">
        <v>74</v>
      </c>
      <c r="AZ452" s="62" t="s">
        <v>74</v>
      </c>
      <c r="BA452" s="62" t="s">
        <v>74</v>
      </c>
      <c r="BB452" s="62" t="s">
        <v>74</v>
      </c>
      <c r="BC452" s="62" t="s">
        <v>74</v>
      </c>
      <c r="BD452" s="62" t="s">
        <v>74</v>
      </c>
      <c r="BE452" s="44" t="s">
        <v>74</v>
      </c>
      <c r="BF452" s="44" t="s">
        <v>74</v>
      </c>
      <c r="BG452" s="62" t="s">
        <v>74</v>
      </c>
      <c r="BH452" s="62" t="s">
        <v>74</v>
      </c>
      <c r="BI452" s="44" t="s">
        <v>74</v>
      </c>
      <c r="BJ452" s="44" t="s">
        <v>74</v>
      </c>
      <c r="BK452" s="44" t="s">
        <v>74</v>
      </c>
      <c r="BL452" s="45" t="s">
        <v>74</v>
      </c>
      <c r="BM452" s="45" t="s">
        <v>74</v>
      </c>
      <c r="BN452" s="44" t="s">
        <v>74</v>
      </c>
      <c r="BO452" s="62" t="s">
        <v>74</v>
      </c>
      <c r="BP452" s="62" t="s">
        <v>74</v>
      </c>
      <c r="BQ452" s="62" t="s">
        <v>74</v>
      </c>
      <c r="BR452" s="62" t="s">
        <v>74</v>
      </c>
      <c r="BS452" s="53" t="s">
        <v>74</v>
      </c>
      <c r="BT452" s="44" t="s">
        <v>74</v>
      </c>
      <c r="BU452" s="44" t="s">
        <v>74</v>
      </c>
      <c r="BV452" s="44" t="s">
        <v>74</v>
      </c>
      <c r="BW452" s="44" t="s">
        <v>74</v>
      </c>
      <c r="BX452" s="44" t="s">
        <v>74</v>
      </c>
      <c r="BY452" s="44" t="s">
        <v>74</v>
      </c>
    </row>
    <row r="453" spans="1:77">
      <c r="A453">
        <v>0</v>
      </c>
      <c r="B453" s="60" t="s">
        <v>74</v>
      </c>
      <c r="C453" s="60" t="s">
        <v>74</v>
      </c>
      <c r="D453" s="61" t="s">
        <v>74</v>
      </c>
      <c r="E453" s="52" t="s">
        <v>74</v>
      </c>
      <c r="F453" s="52" t="s">
        <v>74</v>
      </c>
      <c r="G453" s="52" t="s">
        <v>74</v>
      </c>
      <c r="H453" s="44" t="s">
        <v>74</v>
      </c>
      <c r="I453" s="44" t="s">
        <v>74</v>
      </c>
      <c r="J453" s="44" t="s">
        <v>74</v>
      </c>
      <c r="K453" s="44" t="s">
        <v>74</v>
      </c>
      <c r="L453" s="44" t="s">
        <v>74</v>
      </c>
      <c r="M453" s="44" t="s">
        <v>74</v>
      </c>
      <c r="N453" s="44" t="s">
        <v>74</v>
      </c>
      <c r="O453" s="44" t="s">
        <v>74</v>
      </c>
      <c r="P453" s="44" t="s">
        <v>74</v>
      </c>
      <c r="Q453" s="44" t="s">
        <v>74</v>
      </c>
      <c r="R453" s="44" t="s">
        <v>74</v>
      </c>
      <c r="S453" s="44" t="s">
        <v>74</v>
      </c>
      <c r="T453" s="44" t="s">
        <v>74</v>
      </c>
      <c r="U453" s="44" t="s">
        <v>74</v>
      </c>
      <c r="V453" s="44" t="s">
        <v>74</v>
      </c>
      <c r="W453" s="44" t="s">
        <v>74</v>
      </c>
      <c r="X453" s="44" t="s">
        <v>74</v>
      </c>
      <c r="Y453" s="44" t="s">
        <v>74</v>
      </c>
      <c r="Z453" s="44" t="s">
        <v>74</v>
      </c>
      <c r="AA453" s="44" t="s">
        <v>74</v>
      </c>
      <c r="AB453" s="44" t="s">
        <v>74</v>
      </c>
      <c r="AC453" s="44" t="s">
        <v>74</v>
      </c>
      <c r="AD453" s="44" t="s">
        <v>74</v>
      </c>
      <c r="AE453" s="44" t="s">
        <v>74</v>
      </c>
      <c r="AF453" s="44" t="s">
        <v>74</v>
      </c>
      <c r="AG453" s="44" t="s">
        <v>74</v>
      </c>
      <c r="AH453" s="44" t="s">
        <v>74</v>
      </c>
      <c r="AI453" s="44" t="s">
        <v>74</v>
      </c>
      <c r="AJ453" s="44" t="s">
        <v>74</v>
      </c>
      <c r="AK453" s="44" t="s">
        <v>74</v>
      </c>
      <c r="AL453" s="44" t="s">
        <v>74</v>
      </c>
      <c r="AM453" s="44" t="s">
        <v>74</v>
      </c>
      <c r="AN453" s="44" t="s">
        <v>74</v>
      </c>
      <c r="AO453" s="44" t="s">
        <v>74</v>
      </c>
      <c r="AP453" s="44" t="s">
        <v>74</v>
      </c>
      <c r="AQ453" s="44" t="s">
        <v>74</v>
      </c>
      <c r="AR453" s="44" t="s">
        <v>74</v>
      </c>
      <c r="AS453" s="44" t="s">
        <v>74</v>
      </c>
      <c r="AT453" s="44" t="s">
        <v>74</v>
      </c>
      <c r="AU453" s="44" t="s">
        <v>74</v>
      </c>
      <c r="AV453" s="44" t="s">
        <v>74</v>
      </c>
      <c r="AW453" s="44" t="s">
        <v>74</v>
      </c>
      <c r="AX453" s="62" t="s">
        <v>74</v>
      </c>
      <c r="AY453" s="62" t="s">
        <v>74</v>
      </c>
      <c r="AZ453" s="62" t="s">
        <v>74</v>
      </c>
      <c r="BA453" s="62" t="s">
        <v>74</v>
      </c>
      <c r="BB453" s="62" t="s">
        <v>74</v>
      </c>
      <c r="BC453" s="62" t="s">
        <v>74</v>
      </c>
      <c r="BD453" s="62" t="s">
        <v>74</v>
      </c>
      <c r="BE453" s="44" t="s">
        <v>74</v>
      </c>
      <c r="BF453" s="44" t="s">
        <v>74</v>
      </c>
      <c r="BG453" s="62" t="s">
        <v>74</v>
      </c>
      <c r="BH453" s="62" t="s">
        <v>74</v>
      </c>
      <c r="BI453" s="44" t="s">
        <v>74</v>
      </c>
      <c r="BJ453" s="44" t="s">
        <v>74</v>
      </c>
      <c r="BK453" s="44" t="s">
        <v>74</v>
      </c>
      <c r="BL453" s="45" t="s">
        <v>74</v>
      </c>
      <c r="BM453" s="45" t="s">
        <v>74</v>
      </c>
      <c r="BN453" s="44" t="s">
        <v>74</v>
      </c>
      <c r="BO453" s="62" t="s">
        <v>74</v>
      </c>
      <c r="BP453" s="62" t="s">
        <v>74</v>
      </c>
      <c r="BQ453" s="62" t="s">
        <v>74</v>
      </c>
      <c r="BR453" s="62" t="s">
        <v>74</v>
      </c>
      <c r="BS453" s="53" t="s">
        <v>74</v>
      </c>
      <c r="BT453" s="44" t="s">
        <v>74</v>
      </c>
      <c r="BU453" s="44" t="s">
        <v>74</v>
      </c>
      <c r="BV453" s="44" t="s">
        <v>74</v>
      </c>
      <c r="BW453" s="44" t="s">
        <v>74</v>
      </c>
      <c r="BX453" s="44" t="s">
        <v>74</v>
      </c>
      <c r="BY453" s="44" t="s">
        <v>74</v>
      </c>
    </row>
    <row r="454" spans="1:77">
      <c r="A454">
        <v>0</v>
      </c>
      <c r="B454" s="60" t="s">
        <v>74</v>
      </c>
      <c r="C454" s="60" t="s">
        <v>74</v>
      </c>
      <c r="D454" s="61" t="s">
        <v>74</v>
      </c>
      <c r="E454" s="52" t="s">
        <v>74</v>
      </c>
      <c r="F454" s="52" t="s">
        <v>74</v>
      </c>
      <c r="G454" s="52" t="s">
        <v>74</v>
      </c>
      <c r="H454" s="44" t="s">
        <v>74</v>
      </c>
      <c r="I454" s="44" t="s">
        <v>74</v>
      </c>
      <c r="J454" s="44" t="s">
        <v>74</v>
      </c>
      <c r="K454" s="44" t="s">
        <v>74</v>
      </c>
      <c r="L454" s="44" t="s">
        <v>74</v>
      </c>
      <c r="M454" s="44" t="s">
        <v>74</v>
      </c>
      <c r="N454" s="44" t="s">
        <v>74</v>
      </c>
      <c r="O454" s="44" t="s">
        <v>74</v>
      </c>
      <c r="P454" s="44" t="s">
        <v>74</v>
      </c>
      <c r="Q454" s="44" t="s">
        <v>74</v>
      </c>
      <c r="R454" s="44" t="s">
        <v>74</v>
      </c>
      <c r="S454" s="44" t="s">
        <v>74</v>
      </c>
      <c r="T454" s="44" t="s">
        <v>74</v>
      </c>
      <c r="U454" s="44" t="s">
        <v>74</v>
      </c>
      <c r="V454" s="44" t="s">
        <v>74</v>
      </c>
      <c r="W454" s="44" t="s">
        <v>74</v>
      </c>
      <c r="X454" s="44" t="s">
        <v>74</v>
      </c>
      <c r="Y454" s="44" t="s">
        <v>74</v>
      </c>
      <c r="Z454" s="44" t="s">
        <v>74</v>
      </c>
      <c r="AA454" s="44" t="s">
        <v>74</v>
      </c>
      <c r="AB454" s="44" t="s">
        <v>74</v>
      </c>
      <c r="AC454" s="44" t="s">
        <v>74</v>
      </c>
      <c r="AD454" s="44" t="s">
        <v>74</v>
      </c>
      <c r="AE454" s="44" t="s">
        <v>74</v>
      </c>
      <c r="AF454" s="44" t="s">
        <v>74</v>
      </c>
      <c r="AG454" s="44" t="s">
        <v>74</v>
      </c>
      <c r="AH454" s="44" t="s">
        <v>74</v>
      </c>
      <c r="AI454" s="44" t="s">
        <v>74</v>
      </c>
      <c r="AJ454" s="44" t="s">
        <v>74</v>
      </c>
      <c r="AK454" s="44" t="s">
        <v>74</v>
      </c>
      <c r="AL454" s="44" t="s">
        <v>74</v>
      </c>
      <c r="AM454" s="44" t="s">
        <v>74</v>
      </c>
      <c r="AN454" s="44" t="s">
        <v>74</v>
      </c>
      <c r="AO454" s="44" t="s">
        <v>74</v>
      </c>
      <c r="AP454" s="44" t="s">
        <v>74</v>
      </c>
      <c r="AQ454" s="44" t="s">
        <v>74</v>
      </c>
      <c r="AR454" s="44" t="s">
        <v>74</v>
      </c>
      <c r="AS454" s="44" t="s">
        <v>74</v>
      </c>
      <c r="AT454" s="44" t="s">
        <v>74</v>
      </c>
      <c r="AU454" s="44" t="s">
        <v>74</v>
      </c>
      <c r="AV454" s="44" t="s">
        <v>74</v>
      </c>
      <c r="AW454" s="44" t="s">
        <v>74</v>
      </c>
      <c r="AX454" s="62" t="s">
        <v>74</v>
      </c>
      <c r="AY454" s="62" t="s">
        <v>74</v>
      </c>
      <c r="AZ454" s="62" t="s">
        <v>74</v>
      </c>
      <c r="BA454" s="62" t="s">
        <v>74</v>
      </c>
      <c r="BB454" s="62" t="s">
        <v>74</v>
      </c>
      <c r="BC454" s="62" t="s">
        <v>74</v>
      </c>
      <c r="BD454" s="62" t="s">
        <v>74</v>
      </c>
      <c r="BE454" s="44" t="s">
        <v>74</v>
      </c>
      <c r="BF454" s="44" t="s">
        <v>74</v>
      </c>
      <c r="BG454" s="62" t="s">
        <v>74</v>
      </c>
      <c r="BH454" s="62" t="s">
        <v>74</v>
      </c>
      <c r="BI454" s="44" t="s">
        <v>74</v>
      </c>
      <c r="BJ454" s="44" t="s">
        <v>74</v>
      </c>
      <c r="BK454" s="44" t="s">
        <v>74</v>
      </c>
      <c r="BL454" s="45" t="s">
        <v>74</v>
      </c>
      <c r="BM454" s="45" t="s">
        <v>74</v>
      </c>
      <c r="BN454" s="44" t="s">
        <v>74</v>
      </c>
      <c r="BO454" s="62" t="s">
        <v>74</v>
      </c>
      <c r="BP454" s="62" t="s">
        <v>74</v>
      </c>
      <c r="BQ454" s="62" t="s">
        <v>74</v>
      </c>
      <c r="BR454" s="62" t="s">
        <v>74</v>
      </c>
      <c r="BS454" s="53" t="s">
        <v>74</v>
      </c>
      <c r="BT454" s="44" t="s">
        <v>74</v>
      </c>
      <c r="BU454" s="44" t="s">
        <v>74</v>
      </c>
      <c r="BV454" s="44" t="s">
        <v>74</v>
      </c>
      <c r="BW454" s="44" t="s">
        <v>74</v>
      </c>
      <c r="BX454" s="44" t="s">
        <v>74</v>
      </c>
      <c r="BY454" s="44" t="s">
        <v>74</v>
      </c>
    </row>
    <row r="455" spans="1:77">
      <c r="A455">
        <v>0</v>
      </c>
      <c r="B455" s="60" t="s">
        <v>74</v>
      </c>
      <c r="C455" s="60" t="s">
        <v>74</v>
      </c>
      <c r="D455" s="61" t="s">
        <v>74</v>
      </c>
      <c r="E455" s="52" t="s">
        <v>74</v>
      </c>
      <c r="F455" s="52" t="s">
        <v>74</v>
      </c>
      <c r="G455" s="52" t="s">
        <v>74</v>
      </c>
      <c r="H455" s="44" t="s">
        <v>74</v>
      </c>
      <c r="I455" s="44" t="s">
        <v>74</v>
      </c>
      <c r="J455" s="44" t="s">
        <v>74</v>
      </c>
      <c r="K455" s="44" t="s">
        <v>74</v>
      </c>
      <c r="L455" s="44" t="s">
        <v>74</v>
      </c>
      <c r="M455" s="44" t="s">
        <v>74</v>
      </c>
      <c r="N455" s="44" t="s">
        <v>74</v>
      </c>
      <c r="O455" s="44" t="s">
        <v>74</v>
      </c>
      <c r="P455" s="44" t="s">
        <v>74</v>
      </c>
      <c r="Q455" s="44" t="s">
        <v>74</v>
      </c>
      <c r="R455" s="44" t="s">
        <v>74</v>
      </c>
      <c r="S455" s="44" t="s">
        <v>74</v>
      </c>
      <c r="T455" s="44" t="s">
        <v>74</v>
      </c>
      <c r="U455" s="44" t="s">
        <v>74</v>
      </c>
      <c r="V455" s="44" t="s">
        <v>74</v>
      </c>
      <c r="W455" s="44" t="s">
        <v>74</v>
      </c>
      <c r="X455" s="44" t="s">
        <v>74</v>
      </c>
      <c r="Y455" s="44" t="s">
        <v>74</v>
      </c>
      <c r="Z455" s="44" t="s">
        <v>74</v>
      </c>
      <c r="AA455" s="44" t="s">
        <v>74</v>
      </c>
      <c r="AB455" s="44" t="s">
        <v>74</v>
      </c>
      <c r="AC455" s="44" t="s">
        <v>74</v>
      </c>
      <c r="AD455" s="44" t="s">
        <v>74</v>
      </c>
      <c r="AE455" s="44" t="s">
        <v>74</v>
      </c>
      <c r="AF455" s="44" t="s">
        <v>74</v>
      </c>
      <c r="AG455" s="44" t="s">
        <v>74</v>
      </c>
      <c r="AH455" s="44" t="s">
        <v>74</v>
      </c>
      <c r="AI455" s="44" t="s">
        <v>74</v>
      </c>
      <c r="AJ455" s="44" t="s">
        <v>74</v>
      </c>
      <c r="AK455" s="44" t="s">
        <v>74</v>
      </c>
      <c r="AL455" s="44" t="s">
        <v>74</v>
      </c>
      <c r="AM455" s="44" t="s">
        <v>74</v>
      </c>
      <c r="AN455" s="44" t="s">
        <v>74</v>
      </c>
      <c r="AO455" s="44" t="s">
        <v>74</v>
      </c>
      <c r="AP455" s="44" t="s">
        <v>74</v>
      </c>
      <c r="AQ455" s="44" t="s">
        <v>74</v>
      </c>
      <c r="AR455" s="44" t="s">
        <v>74</v>
      </c>
      <c r="AS455" s="44" t="s">
        <v>74</v>
      </c>
      <c r="AT455" s="44" t="s">
        <v>74</v>
      </c>
      <c r="AU455" s="44" t="s">
        <v>74</v>
      </c>
      <c r="AV455" s="44" t="s">
        <v>74</v>
      </c>
      <c r="AW455" s="44" t="s">
        <v>74</v>
      </c>
      <c r="AX455" s="62" t="s">
        <v>74</v>
      </c>
      <c r="AY455" s="62" t="s">
        <v>74</v>
      </c>
      <c r="AZ455" s="62" t="s">
        <v>74</v>
      </c>
      <c r="BA455" s="62" t="s">
        <v>74</v>
      </c>
      <c r="BB455" s="62" t="s">
        <v>74</v>
      </c>
      <c r="BC455" s="62" t="s">
        <v>74</v>
      </c>
      <c r="BD455" s="62" t="s">
        <v>74</v>
      </c>
      <c r="BE455" s="44" t="s">
        <v>74</v>
      </c>
      <c r="BF455" s="44" t="s">
        <v>74</v>
      </c>
      <c r="BG455" s="62" t="s">
        <v>74</v>
      </c>
      <c r="BH455" s="62" t="s">
        <v>74</v>
      </c>
      <c r="BI455" s="44" t="s">
        <v>74</v>
      </c>
      <c r="BJ455" s="44" t="s">
        <v>74</v>
      </c>
      <c r="BK455" s="44" t="s">
        <v>74</v>
      </c>
      <c r="BL455" s="45" t="s">
        <v>74</v>
      </c>
      <c r="BM455" s="45" t="s">
        <v>74</v>
      </c>
      <c r="BN455" s="44" t="s">
        <v>74</v>
      </c>
      <c r="BO455" s="62" t="s">
        <v>74</v>
      </c>
      <c r="BP455" s="62" t="s">
        <v>74</v>
      </c>
      <c r="BQ455" s="62" t="s">
        <v>74</v>
      </c>
      <c r="BR455" s="62" t="s">
        <v>74</v>
      </c>
      <c r="BS455" s="53" t="s">
        <v>74</v>
      </c>
      <c r="BT455" s="44" t="s">
        <v>74</v>
      </c>
      <c r="BU455" s="44" t="s">
        <v>74</v>
      </c>
      <c r="BV455" s="44" t="s">
        <v>74</v>
      </c>
      <c r="BW455" s="44" t="s">
        <v>74</v>
      </c>
      <c r="BX455" s="44" t="s">
        <v>74</v>
      </c>
      <c r="BY455" s="44" t="s">
        <v>74</v>
      </c>
    </row>
    <row r="456" spans="1:77">
      <c r="A456">
        <v>0</v>
      </c>
      <c r="B456" s="60" t="s">
        <v>74</v>
      </c>
      <c r="C456" s="60" t="s">
        <v>74</v>
      </c>
      <c r="D456" s="61" t="s">
        <v>74</v>
      </c>
      <c r="E456" s="52" t="s">
        <v>74</v>
      </c>
      <c r="F456" s="52" t="s">
        <v>74</v>
      </c>
      <c r="G456" s="52" t="s">
        <v>74</v>
      </c>
      <c r="H456" s="44" t="s">
        <v>74</v>
      </c>
      <c r="I456" s="44" t="s">
        <v>74</v>
      </c>
      <c r="J456" s="44" t="s">
        <v>74</v>
      </c>
      <c r="K456" s="44" t="s">
        <v>74</v>
      </c>
      <c r="L456" s="44" t="s">
        <v>74</v>
      </c>
      <c r="M456" s="44" t="s">
        <v>74</v>
      </c>
      <c r="N456" s="44" t="s">
        <v>74</v>
      </c>
      <c r="O456" s="44" t="s">
        <v>74</v>
      </c>
      <c r="P456" s="44" t="s">
        <v>74</v>
      </c>
      <c r="Q456" s="44" t="s">
        <v>74</v>
      </c>
      <c r="R456" s="44" t="s">
        <v>74</v>
      </c>
      <c r="S456" s="44" t="s">
        <v>74</v>
      </c>
      <c r="T456" s="44" t="s">
        <v>74</v>
      </c>
      <c r="U456" s="44" t="s">
        <v>74</v>
      </c>
      <c r="V456" s="44" t="s">
        <v>74</v>
      </c>
      <c r="W456" s="44" t="s">
        <v>74</v>
      </c>
      <c r="X456" s="44" t="s">
        <v>74</v>
      </c>
      <c r="Y456" s="44" t="s">
        <v>74</v>
      </c>
      <c r="Z456" s="44" t="s">
        <v>74</v>
      </c>
      <c r="AA456" s="44" t="s">
        <v>74</v>
      </c>
      <c r="AB456" s="44" t="s">
        <v>74</v>
      </c>
      <c r="AC456" s="44" t="s">
        <v>74</v>
      </c>
      <c r="AD456" s="44" t="s">
        <v>74</v>
      </c>
      <c r="AE456" s="44" t="s">
        <v>74</v>
      </c>
      <c r="AF456" s="44" t="s">
        <v>74</v>
      </c>
      <c r="AG456" s="44" t="s">
        <v>74</v>
      </c>
      <c r="AH456" s="44" t="s">
        <v>74</v>
      </c>
      <c r="AI456" s="44" t="s">
        <v>74</v>
      </c>
      <c r="AJ456" s="44" t="s">
        <v>74</v>
      </c>
      <c r="AK456" s="44" t="s">
        <v>74</v>
      </c>
      <c r="AL456" s="44" t="s">
        <v>74</v>
      </c>
      <c r="AM456" s="44" t="s">
        <v>74</v>
      </c>
      <c r="AN456" s="44" t="s">
        <v>74</v>
      </c>
      <c r="AO456" s="44" t="s">
        <v>74</v>
      </c>
      <c r="AP456" s="44" t="s">
        <v>74</v>
      </c>
      <c r="AQ456" s="44" t="s">
        <v>74</v>
      </c>
      <c r="AR456" s="44" t="s">
        <v>74</v>
      </c>
      <c r="AS456" s="44" t="s">
        <v>74</v>
      </c>
      <c r="AT456" s="44" t="s">
        <v>74</v>
      </c>
      <c r="AU456" s="44" t="s">
        <v>74</v>
      </c>
      <c r="AV456" s="44" t="s">
        <v>74</v>
      </c>
      <c r="AW456" s="44" t="s">
        <v>74</v>
      </c>
      <c r="AX456" s="62" t="s">
        <v>74</v>
      </c>
      <c r="AY456" s="62" t="s">
        <v>74</v>
      </c>
      <c r="AZ456" s="62" t="s">
        <v>74</v>
      </c>
      <c r="BA456" s="62" t="s">
        <v>74</v>
      </c>
      <c r="BB456" s="62" t="s">
        <v>74</v>
      </c>
      <c r="BC456" s="62" t="s">
        <v>74</v>
      </c>
      <c r="BD456" s="62" t="s">
        <v>74</v>
      </c>
      <c r="BE456" s="44" t="s">
        <v>74</v>
      </c>
      <c r="BF456" s="44" t="s">
        <v>74</v>
      </c>
      <c r="BG456" s="62" t="s">
        <v>74</v>
      </c>
      <c r="BH456" s="62" t="s">
        <v>74</v>
      </c>
      <c r="BI456" s="44" t="s">
        <v>74</v>
      </c>
      <c r="BJ456" s="44" t="s">
        <v>74</v>
      </c>
      <c r="BK456" s="44" t="s">
        <v>74</v>
      </c>
      <c r="BL456" s="45" t="s">
        <v>74</v>
      </c>
      <c r="BM456" s="45" t="s">
        <v>74</v>
      </c>
      <c r="BN456" s="44" t="s">
        <v>74</v>
      </c>
      <c r="BO456" s="62" t="s">
        <v>74</v>
      </c>
      <c r="BP456" s="62" t="s">
        <v>74</v>
      </c>
      <c r="BQ456" s="62" t="s">
        <v>74</v>
      </c>
      <c r="BR456" s="62" t="s">
        <v>74</v>
      </c>
      <c r="BS456" s="53" t="s">
        <v>74</v>
      </c>
      <c r="BT456" s="44" t="s">
        <v>74</v>
      </c>
      <c r="BU456" s="44" t="s">
        <v>74</v>
      </c>
      <c r="BV456" s="44" t="s">
        <v>74</v>
      </c>
      <c r="BW456" s="44" t="s">
        <v>74</v>
      </c>
      <c r="BX456" s="44" t="s">
        <v>74</v>
      </c>
      <c r="BY456" s="44" t="s">
        <v>74</v>
      </c>
    </row>
    <row r="457" spans="1:77">
      <c r="A457">
        <v>0</v>
      </c>
      <c r="B457" s="60" t="s">
        <v>74</v>
      </c>
      <c r="C457" s="60" t="s">
        <v>74</v>
      </c>
      <c r="D457" s="61" t="s">
        <v>74</v>
      </c>
      <c r="E457" s="52" t="s">
        <v>74</v>
      </c>
      <c r="F457" s="52" t="s">
        <v>74</v>
      </c>
      <c r="G457" s="52" t="s">
        <v>74</v>
      </c>
      <c r="H457" s="44" t="s">
        <v>74</v>
      </c>
      <c r="I457" s="44" t="s">
        <v>74</v>
      </c>
      <c r="J457" s="44" t="s">
        <v>74</v>
      </c>
      <c r="K457" s="44" t="s">
        <v>74</v>
      </c>
      <c r="L457" s="44" t="s">
        <v>74</v>
      </c>
      <c r="M457" s="44" t="s">
        <v>74</v>
      </c>
      <c r="N457" s="44" t="s">
        <v>74</v>
      </c>
      <c r="O457" s="44" t="s">
        <v>74</v>
      </c>
      <c r="P457" s="44" t="s">
        <v>74</v>
      </c>
      <c r="Q457" s="44" t="s">
        <v>74</v>
      </c>
      <c r="R457" s="44" t="s">
        <v>74</v>
      </c>
      <c r="S457" s="44" t="s">
        <v>74</v>
      </c>
      <c r="T457" s="44" t="s">
        <v>74</v>
      </c>
      <c r="U457" s="44" t="s">
        <v>74</v>
      </c>
      <c r="V457" s="44" t="s">
        <v>74</v>
      </c>
      <c r="W457" s="44" t="s">
        <v>74</v>
      </c>
      <c r="X457" s="44" t="s">
        <v>74</v>
      </c>
      <c r="Y457" s="44" t="s">
        <v>74</v>
      </c>
      <c r="Z457" s="44" t="s">
        <v>74</v>
      </c>
      <c r="AA457" s="44" t="s">
        <v>74</v>
      </c>
      <c r="AB457" s="44" t="s">
        <v>74</v>
      </c>
      <c r="AC457" s="44" t="s">
        <v>74</v>
      </c>
      <c r="AD457" s="44" t="s">
        <v>74</v>
      </c>
      <c r="AE457" s="44" t="s">
        <v>74</v>
      </c>
      <c r="AF457" s="44" t="s">
        <v>74</v>
      </c>
      <c r="AG457" s="44" t="s">
        <v>74</v>
      </c>
      <c r="AH457" s="44" t="s">
        <v>74</v>
      </c>
      <c r="AI457" s="44" t="s">
        <v>74</v>
      </c>
      <c r="AJ457" s="44" t="s">
        <v>74</v>
      </c>
      <c r="AK457" s="44" t="s">
        <v>74</v>
      </c>
      <c r="AL457" s="44" t="s">
        <v>74</v>
      </c>
      <c r="AM457" s="44" t="s">
        <v>74</v>
      </c>
      <c r="AN457" s="44" t="s">
        <v>74</v>
      </c>
      <c r="AO457" s="44" t="s">
        <v>74</v>
      </c>
      <c r="AP457" s="44" t="s">
        <v>74</v>
      </c>
      <c r="AQ457" s="44" t="s">
        <v>74</v>
      </c>
      <c r="AR457" s="44" t="s">
        <v>74</v>
      </c>
      <c r="AS457" s="44" t="s">
        <v>74</v>
      </c>
      <c r="AT457" s="44" t="s">
        <v>74</v>
      </c>
      <c r="AU457" s="44" t="s">
        <v>74</v>
      </c>
      <c r="AV457" s="44" t="s">
        <v>74</v>
      </c>
      <c r="AW457" s="44" t="s">
        <v>74</v>
      </c>
      <c r="AX457" s="62" t="s">
        <v>74</v>
      </c>
      <c r="AY457" s="62" t="s">
        <v>74</v>
      </c>
      <c r="AZ457" s="62" t="s">
        <v>74</v>
      </c>
      <c r="BA457" s="62" t="s">
        <v>74</v>
      </c>
      <c r="BB457" s="62" t="s">
        <v>74</v>
      </c>
      <c r="BC457" s="62" t="s">
        <v>74</v>
      </c>
      <c r="BD457" s="62" t="s">
        <v>74</v>
      </c>
      <c r="BE457" s="44" t="s">
        <v>74</v>
      </c>
      <c r="BF457" s="44" t="s">
        <v>74</v>
      </c>
      <c r="BG457" s="62" t="s">
        <v>74</v>
      </c>
      <c r="BH457" s="62" t="s">
        <v>74</v>
      </c>
      <c r="BI457" s="44" t="s">
        <v>74</v>
      </c>
      <c r="BJ457" s="44" t="s">
        <v>74</v>
      </c>
      <c r="BK457" s="44" t="s">
        <v>74</v>
      </c>
      <c r="BL457" s="45" t="s">
        <v>74</v>
      </c>
      <c r="BM457" s="45" t="s">
        <v>74</v>
      </c>
      <c r="BN457" s="44" t="s">
        <v>74</v>
      </c>
      <c r="BO457" s="62" t="s">
        <v>74</v>
      </c>
      <c r="BP457" s="62" t="s">
        <v>74</v>
      </c>
      <c r="BQ457" s="62" t="s">
        <v>74</v>
      </c>
      <c r="BR457" s="62" t="s">
        <v>74</v>
      </c>
      <c r="BS457" s="53" t="s">
        <v>74</v>
      </c>
      <c r="BT457" s="44" t="s">
        <v>74</v>
      </c>
      <c r="BU457" s="44" t="s">
        <v>74</v>
      </c>
      <c r="BV457" s="44" t="s">
        <v>74</v>
      </c>
      <c r="BW457" s="44" t="s">
        <v>74</v>
      </c>
      <c r="BX457" s="44" t="s">
        <v>74</v>
      </c>
      <c r="BY457" s="44" t="s">
        <v>74</v>
      </c>
    </row>
    <row r="458" spans="1:77">
      <c r="A458">
        <v>0</v>
      </c>
      <c r="B458" s="60" t="s">
        <v>74</v>
      </c>
      <c r="C458" s="60" t="s">
        <v>74</v>
      </c>
      <c r="D458" s="61" t="s">
        <v>74</v>
      </c>
      <c r="E458" s="52" t="s">
        <v>74</v>
      </c>
      <c r="F458" s="52" t="s">
        <v>74</v>
      </c>
      <c r="G458" s="52" t="s">
        <v>74</v>
      </c>
      <c r="H458" s="44" t="s">
        <v>74</v>
      </c>
      <c r="I458" s="44" t="s">
        <v>74</v>
      </c>
      <c r="J458" s="44" t="s">
        <v>74</v>
      </c>
      <c r="K458" s="44" t="s">
        <v>74</v>
      </c>
      <c r="L458" s="44" t="s">
        <v>74</v>
      </c>
      <c r="M458" s="44" t="s">
        <v>74</v>
      </c>
      <c r="N458" s="44" t="s">
        <v>74</v>
      </c>
      <c r="O458" s="44" t="s">
        <v>74</v>
      </c>
      <c r="P458" s="44" t="s">
        <v>74</v>
      </c>
      <c r="Q458" s="44" t="s">
        <v>74</v>
      </c>
      <c r="R458" s="44" t="s">
        <v>74</v>
      </c>
      <c r="S458" s="44" t="s">
        <v>74</v>
      </c>
      <c r="T458" s="44" t="s">
        <v>74</v>
      </c>
      <c r="U458" s="44" t="s">
        <v>74</v>
      </c>
      <c r="V458" s="44" t="s">
        <v>74</v>
      </c>
      <c r="W458" s="44" t="s">
        <v>74</v>
      </c>
      <c r="X458" s="44" t="s">
        <v>74</v>
      </c>
      <c r="Y458" s="44" t="s">
        <v>74</v>
      </c>
      <c r="Z458" s="44" t="s">
        <v>74</v>
      </c>
      <c r="AA458" s="44" t="s">
        <v>74</v>
      </c>
      <c r="AB458" s="44" t="s">
        <v>74</v>
      </c>
      <c r="AC458" s="44" t="s">
        <v>74</v>
      </c>
      <c r="AD458" s="44" t="s">
        <v>74</v>
      </c>
      <c r="AE458" s="44" t="s">
        <v>74</v>
      </c>
      <c r="AF458" s="44" t="s">
        <v>74</v>
      </c>
      <c r="AG458" s="44" t="s">
        <v>74</v>
      </c>
      <c r="AH458" s="44" t="s">
        <v>74</v>
      </c>
      <c r="AI458" s="44" t="s">
        <v>74</v>
      </c>
      <c r="AJ458" s="44" t="s">
        <v>74</v>
      </c>
      <c r="AK458" s="44" t="s">
        <v>74</v>
      </c>
      <c r="AL458" s="44" t="s">
        <v>74</v>
      </c>
      <c r="AM458" s="44" t="s">
        <v>74</v>
      </c>
      <c r="AN458" s="44" t="s">
        <v>74</v>
      </c>
      <c r="AO458" s="44" t="s">
        <v>74</v>
      </c>
      <c r="AP458" s="44" t="s">
        <v>74</v>
      </c>
      <c r="AQ458" s="44" t="s">
        <v>74</v>
      </c>
      <c r="AR458" s="44" t="s">
        <v>74</v>
      </c>
      <c r="AS458" s="44" t="s">
        <v>74</v>
      </c>
      <c r="AT458" s="44" t="s">
        <v>74</v>
      </c>
      <c r="AU458" s="44" t="s">
        <v>74</v>
      </c>
      <c r="AV458" s="44" t="s">
        <v>74</v>
      </c>
      <c r="AW458" s="44" t="s">
        <v>74</v>
      </c>
      <c r="AX458" s="62" t="s">
        <v>74</v>
      </c>
      <c r="AY458" s="62" t="s">
        <v>74</v>
      </c>
      <c r="AZ458" s="62" t="s">
        <v>74</v>
      </c>
      <c r="BA458" s="62" t="s">
        <v>74</v>
      </c>
      <c r="BB458" s="62" t="s">
        <v>74</v>
      </c>
      <c r="BC458" s="62" t="s">
        <v>74</v>
      </c>
      <c r="BD458" s="62" t="s">
        <v>74</v>
      </c>
      <c r="BE458" s="44" t="s">
        <v>74</v>
      </c>
      <c r="BF458" s="44" t="s">
        <v>74</v>
      </c>
      <c r="BG458" s="62" t="s">
        <v>74</v>
      </c>
      <c r="BH458" s="62" t="s">
        <v>74</v>
      </c>
      <c r="BI458" s="44" t="s">
        <v>74</v>
      </c>
      <c r="BJ458" s="44" t="s">
        <v>74</v>
      </c>
      <c r="BK458" s="44" t="s">
        <v>74</v>
      </c>
      <c r="BL458" s="45" t="s">
        <v>74</v>
      </c>
      <c r="BM458" s="45" t="s">
        <v>74</v>
      </c>
      <c r="BN458" s="44" t="s">
        <v>74</v>
      </c>
      <c r="BO458" s="62" t="s">
        <v>74</v>
      </c>
      <c r="BP458" s="62" t="s">
        <v>74</v>
      </c>
      <c r="BQ458" s="62" t="s">
        <v>74</v>
      </c>
      <c r="BR458" s="62" t="s">
        <v>74</v>
      </c>
      <c r="BS458" s="53" t="s">
        <v>74</v>
      </c>
      <c r="BT458" s="44" t="s">
        <v>74</v>
      </c>
      <c r="BU458" s="44" t="s">
        <v>74</v>
      </c>
      <c r="BV458" s="44" t="s">
        <v>74</v>
      </c>
      <c r="BW458" s="44" t="s">
        <v>74</v>
      </c>
      <c r="BX458" s="44" t="s">
        <v>74</v>
      </c>
      <c r="BY458" s="44" t="s">
        <v>74</v>
      </c>
    </row>
    <row r="459" spans="1:77">
      <c r="A459">
        <v>0</v>
      </c>
      <c r="B459" s="60" t="s">
        <v>74</v>
      </c>
      <c r="C459" s="60" t="s">
        <v>74</v>
      </c>
      <c r="D459" s="61" t="s">
        <v>74</v>
      </c>
      <c r="E459" s="52" t="s">
        <v>74</v>
      </c>
      <c r="F459" s="52" t="s">
        <v>74</v>
      </c>
      <c r="G459" s="52" t="s">
        <v>74</v>
      </c>
      <c r="H459" s="44" t="s">
        <v>74</v>
      </c>
      <c r="I459" s="44" t="s">
        <v>74</v>
      </c>
      <c r="J459" s="44" t="s">
        <v>74</v>
      </c>
      <c r="K459" s="44" t="s">
        <v>74</v>
      </c>
      <c r="L459" s="44" t="s">
        <v>74</v>
      </c>
      <c r="M459" s="44" t="s">
        <v>74</v>
      </c>
      <c r="N459" s="44" t="s">
        <v>74</v>
      </c>
      <c r="O459" s="44" t="s">
        <v>74</v>
      </c>
      <c r="P459" s="44" t="s">
        <v>74</v>
      </c>
      <c r="Q459" s="44" t="s">
        <v>74</v>
      </c>
      <c r="R459" s="44" t="s">
        <v>74</v>
      </c>
      <c r="S459" s="44" t="s">
        <v>74</v>
      </c>
      <c r="T459" s="44" t="s">
        <v>74</v>
      </c>
      <c r="U459" s="44" t="s">
        <v>74</v>
      </c>
      <c r="V459" s="44" t="s">
        <v>74</v>
      </c>
      <c r="W459" s="44" t="s">
        <v>74</v>
      </c>
      <c r="X459" s="44" t="s">
        <v>74</v>
      </c>
      <c r="Y459" s="44" t="s">
        <v>74</v>
      </c>
      <c r="Z459" s="44" t="s">
        <v>74</v>
      </c>
      <c r="AA459" s="44" t="s">
        <v>74</v>
      </c>
      <c r="AB459" s="44" t="s">
        <v>74</v>
      </c>
      <c r="AC459" s="44" t="s">
        <v>74</v>
      </c>
      <c r="AD459" s="44" t="s">
        <v>74</v>
      </c>
      <c r="AE459" s="44" t="s">
        <v>74</v>
      </c>
      <c r="AF459" s="44" t="s">
        <v>74</v>
      </c>
      <c r="AG459" s="44" t="s">
        <v>74</v>
      </c>
      <c r="AH459" s="44" t="s">
        <v>74</v>
      </c>
      <c r="AI459" s="44" t="s">
        <v>74</v>
      </c>
      <c r="AJ459" s="44" t="s">
        <v>74</v>
      </c>
      <c r="AK459" s="44" t="s">
        <v>74</v>
      </c>
      <c r="AL459" s="44" t="s">
        <v>74</v>
      </c>
      <c r="AM459" s="44" t="s">
        <v>74</v>
      </c>
      <c r="AN459" s="44" t="s">
        <v>74</v>
      </c>
      <c r="AO459" s="44" t="s">
        <v>74</v>
      </c>
      <c r="AP459" s="44" t="s">
        <v>74</v>
      </c>
      <c r="AQ459" s="44" t="s">
        <v>74</v>
      </c>
      <c r="AR459" s="44" t="s">
        <v>74</v>
      </c>
      <c r="AS459" s="44" t="s">
        <v>74</v>
      </c>
      <c r="AT459" s="44" t="s">
        <v>74</v>
      </c>
      <c r="AU459" s="44" t="s">
        <v>74</v>
      </c>
      <c r="AV459" s="44" t="s">
        <v>74</v>
      </c>
      <c r="AW459" s="44" t="s">
        <v>74</v>
      </c>
      <c r="AX459" s="62" t="s">
        <v>74</v>
      </c>
      <c r="AY459" s="62" t="s">
        <v>74</v>
      </c>
      <c r="AZ459" s="62" t="s">
        <v>74</v>
      </c>
      <c r="BA459" s="62" t="s">
        <v>74</v>
      </c>
      <c r="BB459" s="62" t="s">
        <v>74</v>
      </c>
      <c r="BC459" s="62" t="s">
        <v>74</v>
      </c>
      <c r="BD459" s="62" t="s">
        <v>74</v>
      </c>
      <c r="BE459" s="44" t="s">
        <v>74</v>
      </c>
      <c r="BF459" s="44" t="s">
        <v>74</v>
      </c>
      <c r="BG459" s="62" t="s">
        <v>74</v>
      </c>
      <c r="BH459" s="62" t="s">
        <v>74</v>
      </c>
      <c r="BI459" s="44" t="s">
        <v>74</v>
      </c>
      <c r="BJ459" s="44" t="s">
        <v>74</v>
      </c>
      <c r="BK459" s="44" t="s">
        <v>74</v>
      </c>
      <c r="BL459" s="45" t="s">
        <v>74</v>
      </c>
      <c r="BM459" s="45" t="s">
        <v>74</v>
      </c>
      <c r="BN459" s="44" t="s">
        <v>74</v>
      </c>
      <c r="BO459" s="62" t="s">
        <v>74</v>
      </c>
      <c r="BP459" s="62" t="s">
        <v>74</v>
      </c>
      <c r="BQ459" s="62" t="s">
        <v>74</v>
      </c>
      <c r="BR459" s="62" t="s">
        <v>74</v>
      </c>
      <c r="BS459" s="53" t="s">
        <v>74</v>
      </c>
      <c r="BT459" s="44" t="s">
        <v>74</v>
      </c>
      <c r="BU459" s="44" t="s">
        <v>74</v>
      </c>
      <c r="BV459" s="44" t="s">
        <v>74</v>
      </c>
      <c r="BW459" s="44" t="s">
        <v>74</v>
      </c>
      <c r="BX459" s="44" t="s">
        <v>74</v>
      </c>
      <c r="BY459" s="44" t="s">
        <v>74</v>
      </c>
    </row>
    <row r="460" spans="1:77">
      <c r="A460">
        <v>0</v>
      </c>
      <c r="B460" s="60" t="s">
        <v>74</v>
      </c>
      <c r="C460" s="60" t="s">
        <v>74</v>
      </c>
      <c r="D460" s="61" t="s">
        <v>74</v>
      </c>
      <c r="E460" s="52" t="s">
        <v>74</v>
      </c>
      <c r="F460" s="52" t="s">
        <v>74</v>
      </c>
      <c r="G460" s="52" t="s">
        <v>74</v>
      </c>
      <c r="H460" s="44" t="s">
        <v>74</v>
      </c>
      <c r="I460" s="44" t="s">
        <v>74</v>
      </c>
      <c r="J460" s="44" t="s">
        <v>74</v>
      </c>
      <c r="K460" s="44" t="s">
        <v>74</v>
      </c>
      <c r="L460" s="44" t="s">
        <v>74</v>
      </c>
      <c r="M460" s="44" t="s">
        <v>74</v>
      </c>
      <c r="N460" s="44" t="s">
        <v>74</v>
      </c>
      <c r="O460" s="44" t="s">
        <v>74</v>
      </c>
      <c r="P460" s="44" t="s">
        <v>74</v>
      </c>
      <c r="Q460" s="44" t="s">
        <v>74</v>
      </c>
      <c r="R460" s="44" t="s">
        <v>74</v>
      </c>
      <c r="S460" s="44" t="s">
        <v>74</v>
      </c>
      <c r="T460" s="44" t="s">
        <v>74</v>
      </c>
      <c r="U460" s="44" t="s">
        <v>74</v>
      </c>
      <c r="V460" s="44" t="s">
        <v>74</v>
      </c>
      <c r="W460" s="44" t="s">
        <v>74</v>
      </c>
      <c r="X460" s="44" t="s">
        <v>74</v>
      </c>
      <c r="Y460" s="44" t="s">
        <v>74</v>
      </c>
      <c r="Z460" s="44" t="s">
        <v>74</v>
      </c>
      <c r="AA460" s="44" t="s">
        <v>74</v>
      </c>
      <c r="AB460" s="44" t="s">
        <v>74</v>
      </c>
      <c r="AC460" s="44" t="s">
        <v>74</v>
      </c>
      <c r="AD460" s="44" t="s">
        <v>74</v>
      </c>
      <c r="AE460" s="44" t="s">
        <v>74</v>
      </c>
      <c r="AF460" s="44" t="s">
        <v>74</v>
      </c>
      <c r="AG460" s="44" t="s">
        <v>74</v>
      </c>
      <c r="AH460" s="44" t="s">
        <v>74</v>
      </c>
      <c r="AI460" s="44" t="s">
        <v>74</v>
      </c>
      <c r="AJ460" s="44" t="s">
        <v>74</v>
      </c>
      <c r="AK460" s="44" t="s">
        <v>74</v>
      </c>
      <c r="AL460" s="44" t="s">
        <v>74</v>
      </c>
      <c r="AM460" s="44" t="s">
        <v>74</v>
      </c>
      <c r="AN460" s="44" t="s">
        <v>74</v>
      </c>
      <c r="AO460" s="44" t="s">
        <v>74</v>
      </c>
      <c r="AP460" s="44" t="s">
        <v>74</v>
      </c>
      <c r="AQ460" s="44" t="s">
        <v>74</v>
      </c>
      <c r="AR460" s="44" t="s">
        <v>74</v>
      </c>
      <c r="AS460" s="44" t="s">
        <v>74</v>
      </c>
      <c r="AT460" s="44" t="s">
        <v>74</v>
      </c>
      <c r="AU460" s="44" t="s">
        <v>74</v>
      </c>
      <c r="AV460" s="44" t="s">
        <v>74</v>
      </c>
      <c r="AW460" s="44" t="s">
        <v>74</v>
      </c>
      <c r="AX460" s="62" t="s">
        <v>74</v>
      </c>
      <c r="AY460" s="62" t="s">
        <v>74</v>
      </c>
      <c r="AZ460" s="62" t="s">
        <v>74</v>
      </c>
      <c r="BA460" s="62" t="s">
        <v>74</v>
      </c>
      <c r="BB460" s="62" t="s">
        <v>74</v>
      </c>
      <c r="BC460" s="62" t="s">
        <v>74</v>
      </c>
      <c r="BD460" s="62" t="s">
        <v>74</v>
      </c>
      <c r="BE460" s="44" t="s">
        <v>74</v>
      </c>
      <c r="BF460" s="44" t="s">
        <v>74</v>
      </c>
      <c r="BG460" s="62" t="s">
        <v>74</v>
      </c>
      <c r="BH460" s="62" t="s">
        <v>74</v>
      </c>
      <c r="BI460" s="44" t="s">
        <v>74</v>
      </c>
      <c r="BJ460" s="44" t="s">
        <v>74</v>
      </c>
      <c r="BK460" s="44" t="s">
        <v>74</v>
      </c>
      <c r="BL460" s="45" t="s">
        <v>74</v>
      </c>
      <c r="BM460" s="45" t="s">
        <v>74</v>
      </c>
      <c r="BN460" s="44" t="s">
        <v>74</v>
      </c>
      <c r="BO460" s="62" t="s">
        <v>74</v>
      </c>
      <c r="BP460" s="62" t="s">
        <v>74</v>
      </c>
      <c r="BQ460" s="62" t="s">
        <v>74</v>
      </c>
      <c r="BR460" s="62" t="s">
        <v>74</v>
      </c>
      <c r="BS460" s="53" t="s">
        <v>74</v>
      </c>
      <c r="BT460" s="44" t="s">
        <v>74</v>
      </c>
      <c r="BU460" s="44" t="s">
        <v>74</v>
      </c>
      <c r="BV460" s="44" t="s">
        <v>74</v>
      </c>
      <c r="BW460" s="44" t="s">
        <v>74</v>
      </c>
      <c r="BX460" s="44" t="s">
        <v>74</v>
      </c>
      <c r="BY460" s="44" t="s">
        <v>74</v>
      </c>
    </row>
    <row r="461" spans="1:77">
      <c r="A461">
        <v>0</v>
      </c>
      <c r="B461" s="60" t="s">
        <v>74</v>
      </c>
      <c r="C461" s="60" t="s">
        <v>74</v>
      </c>
      <c r="D461" s="61" t="s">
        <v>74</v>
      </c>
      <c r="E461" s="52" t="s">
        <v>74</v>
      </c>
      <c r="F461" s="52" t="s">
        <v>74</v>
      </c>
      <c r="G461" s="52" t="s">
        <v>74</v>
      </c>
      <c r="H461" s="44" t="s">
        <v>74</v>
      </c>
      <c r="I461" s="44" t="s">
        <v>74</v>
      </c>
      <c r="J461" s="44" t="s">
        <v>74</v>
      </c>
      <c r="K461" s="44" t="s">
        <v>74</v>
      </c>
      <c r="L461" s="44" t="s">
        <v>74</v>
      </c>
      <c r="M461" s="44" t="s">
        <v>74</v>
      </c>
      <c r="N461" s="44" t="s">
        <v>74</v>
      </c>
      <c r="O461" s="44" t="s">
        <v>74</v>
      </c>
      <c r="P461" s="44" t="s">
        <v>74</v>
      </c>
      <c r="Q461" s="44" t="s">
        <v>74</v>
      </c>
      <c r="R461" s="44" t="s">
        <v>74</v>
      </c>
      <c r="S461" s="44" t="s">
        <v>74</v>
      </c>
      <c r="T461" s="44" t="s">
        <v>74</v>
      </c>
      <c r="U461" s="44" t="s">
        <v>74</v>
      </c>
      <c r="V461" s="44" t="s">
        <v>74</v>
      </c>
      <c r="W461" s="44" t="s">
        <v>74</v>
      </c>
      <c r="X461" s="44" t="s">
        <v>74</v>
      </c>
      <c r="Y461" s="44" t="s">
        <v>74</v>
      </c>
      <c r="Z461" s="44" t="s">
        <v>74</v>
      </c>
      <c r="AA461" s="44" t="s">
        <v>74</v>
      </c>
      <c r="AB461" s="44" t="s">
        <v>74</v>
      </c>
      <c r="AC461" s="44" t="s">
        <v>74</v>
      </c>
      <c r="AD461" s="44" t="s">
        <v>74</v>
      </c>
      <c r="AE461" s="44" t="s">
        <v>74</v>
      </c>
      <c r="AF461" s="44" t="s">
        <v>74</v>
      </c>
      <c r="AG461" s="44" t="s">
        <v>74</v>
      </c>
      <c r="AH461" s="44" t="s">
        <v>74</v>
      </c>
      <c r="AI461" s="44" t="s">
        <v>74</v>
      </c>
      <c r="AJ461" s="44" t="s">
        <v>74</v>
      </c>
      <c r="AK461" s="44" t="s">
        <v>74</v>
      </c>
      <c r="AL461" s="44" t="s">
        <v>74</v>
      </c>
      <c r="AM461" s="44" t="s">
        <v>74</v>
      </c>
      <c r="AN461" s="44" t="s">
        <v>74</v>
      </c>
      <c r="AO461" s="44" t="s">
        <v>74</v>
      </c>
      <c r="AP461" s="44" t="s">
        <v>74</v>
      </c>
      <c r="AQ461" s="44" t="s">
        <v>74</v>
      </c>
      <c r="AR461" s="44" t="s">
        <v>74</v>
      </c>
      <c r="AS461" s="44" t="s">
        <v>74</v>
      </c>
      <c r="AT461" s="44" t="s">
        <v>74</v>
      </c>
      <c r="AU461" s="44" t="s">
        <v>74</v>
      </c>
      <c r="AV461" s="44" t="s">
        <v>74</v>
      </c>
      <c r="AW461" s="44" t="s">
        <v>74</v>
      </c>
      <c r="AX461" s="62" t="s">
        <v>74</v>
      </c>
      <c r="AY461" s="62" t="s">
        <v>74</v>
      </c>
      <c r="AZ461" s="62" t="s">
        <v>74</v>
      </c>
      <c r="BA461" s="62" t="s">
        <v>74</v>
      </c>
      <c r="BB461" s="62" t="s">
        <v>74</v>
      </c>
      <c r="BC461" s="62" t="s">
        <v>74</v>
      </c>
      <c r="BD461" s="62" t="s">
        <v>74</v>
      </c>
      <c r="BE461" s="44" t="s">
        <v>74</v>
      </c>
      <c r="BF461" s="44" t="s">
        <v>74</v>
      </c>
      <c r="BG461" s="62" t="s">
        <v>74</v>
      </c>
      <c r="BH461" s="62" t="s">
        <v>74</v>
      </c>
      <c r="BI461" s="44" t="s">
        <v>74</v>
      </c>
      <c r="BJ461" s="44" t="s">
        <v>74</v>
      </c>
      <c r="BK461" s="44" t="s">
        <v>74</v>
      </c>
      <c r="BL461" s="45" t="s">
        <v>74</v>
      </c>
      <c r="BM461" s="45" t="s">
        <v>74</v>
      </c>
      <c r="BN461" s="44" t="s">
        <v>74</v>
      </c>
      <c r="BO461" s="62" t="s">
        <v>74</v>
      </c>
      <c r="BP461" s="62" t="s">
        <v>74</v>
      </c>
      <c r="BQ461" s="62" t="s">
        <v>74</v>
      </c>
      <c r="BR461" s="62" t="s">
        <v>74</v>
      </c>
      <c r="BS461" s="53" t="s">
        <v>74</v>
      </c>
      <c r="BT461" s="44" t="s">
        <v>74</v>
      </c>
      <c r="BU461" s="44" t="s">
        <v>74</v>
      </c>
      <c r="BV461" s="44" t="s">
        <v>74</v>
      </c>
      <c r="BW461" s="44" t="s">
        <v>74</v>
      </c>
      <c r="BX461" s="44" t="s">
        <v>74</v>
      </c>
      <c r="BY461" s="44" t="s">
        <v>74</v>
      </c>
    </row>
    <row r="462" spans="1:77">
      <c r="A462">
        <v>0</v>
      </c>
      <c r="B462" s="60" t="s">
        <v>74</v>
      </c>
      <c r="C462" s="60" t="s">
        <v>74</v>
      </c>
      <c r="D462" s="61" t="s">
        <v>74</v>
      </c>
      <c r="E462" s="52" t="s">
        <v>74</v>
      </c>
      <c r="F462" s="52" t="s">
        <v>74</v>
      </c>
      <c r="G462" s="52" t="s">
        <v>74</v>
      </c>
      <c r="H462" s="44" t="s">
        <v>74</v>
      </c>
      <c r="I462" s="44" t="s">
        <v>74</v>
      </c>
      <c r="J462" s="44" t="s">
        <v>74</v>
      </c>
      <c r="K462" s="44" t="s">
        <v>74</v>
      </c>
      <c r="L462" s="44" t="s">
        <v>74</v>
      </c>
      <c r="M462" s="44" t="s">
        <v>74</v>
      </c>
      <c r="N462" s="44" t="s">
        <v>74</v>
      </c>
      <c r="O462" s="44" t="s">
        <v>74</v>
      </c>
      <c r="P462" s="44" t="s">
        <v>74</v>
      </c>
      <c r="Q462" s="44" t="s">
        <v>74</v>
      </c>
      <c r="R462" s="44" t="s">
        <v>74</v>
      </c>
      <c r="S462" s="44" t="s">
        <v>74</v>
      </c>
      <c r="T462" s="44" t="s">
        <v>74</v>
      </c>
      <c r="U462" s="44" t="s">
        <v>74</v>
      </c>
      <c r="V462" s="44" t="s">
        <v>74</v>
      </c>
      <c r="W462" s="44" t="s">
        <v>74</v>
      </c>
      <c r="X462" s="44" t="s">
        <v>74</v>
      </c>
      <c r="Y462" s="44" t="s">
        <v>74</v>
      </c>
      <c r="Z462" s="44" t="s">
        <v>74</v>
      </c>
      <c r="AA462" s="44" t="s">
        <v>74</v>
      </c>
      <c r="AB462" s="44" t="s">
        <v>74</v>
      </c>
      <c r="AC462" s="44" t="s">
        <v>74</v>
      </c>
      <c r="AD462" s="44" t="s">
        <v>74</v>
      </c>
      <c r="AE462" s="44" t="s">
        <v>74</v>
      </c>
      <c r="AF462" s="44" t="s">
        <v>74</v>
      </c>
      <c r="AG462" s="44" t="s">
        <v>74</v>
      </c>
      <c r="AH462" s="44" t="s">
        <v>74</v>
      </c>
      <c r="AI462" s="44" t="s">
        <v>74</v>
      </c>
      <c r="AJ462" s="44" t="s">
        <v>74</v>
      </c>
      <c r="AK462" s="44" t="s">
        <v>74</v>
      </c>
      <c r="AL462" s="44" t="s">
        <v>74</v>
      </c>
      <c r="AM462" s="44" t="s">
        <v>74</v>
      </c>
      <c r="AN462" s="44" t="s">
        <v>74</v>
      </c>
      <c r="AO462" s="44" t="s">
        <v>74</v>
      </c>
      <c r="AP462" s="44" t="s">
        <v>74</v>
      </c>
      <c r="AQ462" s="44" t="s">
        <v>74</v>
      </c>
      <c r="AR462" s="44" t="s">
        <v>74</v>
      </c>
      <c r="AS462" s="44" t="s">
        <v>74</v>
      </c>
      <c r="AT462" s="44" t="s">
        <v>74</v>
      </c>
      <c r="AU462" s="44" t="s">
        <v>74</v>
      </c>
      <c r="AV462" s="44" t="s">
        <v>74</v>
      </c>
      <c r="AW462" s="44" t="s">
        <v>74</v>
      </c>
      <c r="AX462" s="62" t="s">
        <v>74</v>
      </c>
      <c r="AY462" s="62" t="s">
        <v>74</v>
      </c>
      <c r="AZ462" s="62" t="s">
        <v>74</v>
      </c>
      <c r="BA462" s="62" t="s">
        <v>74</v>
      </c>
      <c r="BB462" s="62" t="s">
        <v>74</v>
      </c>
      <c r="BC462" s="62" t="s">
        <v>74</v>
      </c>
      <c r="BD462" s="62" t="s">
        <v>74</v>
      </c>
      <c r="BE462" s="44" t="s">
        <v>74</v>
      </c>
      <c r="BF462" s="44" t="s">
        <v>74</v>
      </c>
      <c r="BG462" s="62" t="s">
        <v>74</v>
      </c>
      <c r="BH462" s="62" t="s">
        <v>74</v>
      </c>
      <c r="BI462" s="44" t="s">
        <v>74</v>
      </c>
      <c r="BJ462" s="44" t="s">
        <v>74</v>
      </c>
      <c r="BK462" s="44" t="s">
        <v>74</v>
      </c>
      <c r="BL462" s="45" t="s">
        <v>74</v>
      </c>
      <c r="BM462" s="45" t="s">
        <v>74</v>
      </c>
      <c r="BN462" s="44" t="s">
        <v>74</v>
      </c>
      <c r="BO462" s="62" t="s">
        <v>74</v>
      </c>
      <c r="BP462" s="62" t="s">
        <v>74</v>
      </c>
      <c r="BQ462" s="62" t="s">
        <v>74</v>
      </c>
      <c r="BR462" s="62" t="s">
        <v>74</v>
      </c>
      <c r="BS462" s="53" t="s">
        <v>74</v>
      </c>
      <c r="BT462" s="44" t="s">
        <v>74</v>
      </c>
      <c r="BU462" s="44" t="s">
        <v>74</v>
      </c>
      <c r="BV462" s="44" t="s">
        <v>74</v>
      </c>
      <c r="BW462" s="44" t="s">
        <v>74</v>
      </c>
      <c r="BX462" s="44" t="s">
        <v>74</v>
      </c>
      <c r="BY462" s="44" t="s">
        <v>74</v>
      </c>
    </row>
    <row r="463" spans="1:77">
      <c r="A463">
        <v>0</v>
      </c>
      <c r="B463" s="60" t="s">
        <v>74</v>
      </c>
      <c r="C463" s="60" t="s">
        <v>74</v>
      </c>
      <c r="D463" s="61" t="s">
        <v>74</v>
      </c>
      <c r="E463" s="52" t="s">
        <v>74</v>
      </c>
      <c r="F463" s="52" t="s">
        <v>74</v>
      </c>
      <c r="G463" s="52" t="s">
        <v>74</v>
      </c>
      <c r="H463" s="44" t="s">
        <v>74</v>
      </c>
      <c r="I463" s="44" t="s">
        <v>74</v>
      </c>
      <c r="J463" s="44" t="s">
        <v>74</v>
      </c>
      <c r="K463" s="44" t="s">
        <v>74</v>
      </c>
      <c r="L463" s="44" t="s">
        <v>74</v>
      </c>
      <c r="M463" s="44" t="s">
        <v>74</v>
      </c>
      <c r="N463" s="44" t="s">
        <v>74</v>
      </c>
      <c r="O463" s="44" t="s">
        <v>74</v>
      </c>
      <c r="P463" s="44" t="s">
        <v>74</v>
      </c>
      <c r="Q463" s="44" t="s">
        <v>74</v>
      </c>
      <c r="R463" s="44" t="s">
        <v>74</v>
      </c>
      <c r="S463" s="44" t="s">
        <v>74</v>
      </c>
      <c r="T463" s="44" t="s">
        <v>74</v>
      </c>
      <c r="U463" s="44" t="s">
        <v>74</v>
      </c>
      <c r="V463" s="44" t="s">
        <v>74</v>
      </c>
      <c r="W463" s="44" t="s">
        <v>74</v>
      </c>
      <c r="X463" s="44" t="s">
        <v>74</v>
      </c>
      <c r="Y463" s="44" t="s">
        <v>74</v>
      </c>
      <c r="Z463" s="44" t="s">
        <v>74</v>
      </c>
      <c r="AA463" s="44" t="s">
        <v>74</v>
      </c>
      <c r="AB463" s="44" t="s">
        <v>74</v>
      </c>
      <c r="AC463" s="44" t="s">
        <v>74</v>
      </c>
      <c r="AD463" s="44" t="s">
        <v>74</v>
      </c>
      <c r="AE463" s="44" t="s">
        <v>74</v>
      </c>
      <c r="AF463" s="44" t="s">
        <v>74</v>
      </c>
      <c r="AG463" s="44" t="s">
        <v>74</v>
      </c>
      <c r="AH463" s="44" t="s">
        <v>74</v>
      </c>
      <c r="AI463" s="44" t="s">
        <v>74</v>
      </c>
      <c r="AJ463" s="44" t="s">
        <v>74</v>
      </c>
      <c r="AK463" s="44" t="s">
        <v>74</v>
      </c>
      <c r="AL463" s="44" t="s">
        <v>74</v>
      </c>
      <c r="AM463" s="44" t="s">
        <v>74</v>
      </c>
      <c r="AN463" s="44" t="s">
        <v>74</v>
      </c>
      <c r="AO463" s="44" t="s">
        <v>74</v>
      </c>
      <c r="AP463" s="44" t="s">
        <v>74</v>
      </c>
      <c r="AQ463" s="44" t="s">
        <v>74</v>
      </c>
      <c r="AR463" s="44" t="s">
        <v>74</v>
      </c>
      <c r="AS463" s="44" t="s">
        <v>74</v>
      </c>
      <c r="AT463" s="44" t="s">
        <v>74</v>
      </c>
      <c r="AU463" s="44" t="s">
        <v>74</v>
      </c>
      <c r="AV463" s="44" t="s">
        <v>74</v>
      </c>
      <c r="AW463" s="44" t="s">
        <v>74</v>
      </c>
      <c r="AX463" s="62" t="s">
        <v>74</v>
      </c>
      <c r="AY463" s="62" t="s">
        <v>74</v>
      </c>
      <c r="AZ463" s="62" t="s">
        <v>74</v>
      </c>
      <c r="BA463" s="62" t="s">
        <v>74</v>
      </c>
      <c r="BB463" s="62" t="s">
        <v>74</v>
      </c>
      <c r="BC463" s="62" t="s">
        <v>74</v>
      </c>
      <c r="BD463" s="62" t="s">
        <v>74</v>
      </c>
      <c r="BE463" s="44" t="s">
        <v>74</v>
      </c>
      <c r="BF463" s="44" t="s">
        <v>74</v>
      </c>
      <c r="BG463" s="62" t="s">
        <v>74</v>
      </c>
      <c r="BH463" s="62" t="s">
        <v>74</v>
      </c>
      <c r="BI463" s="44" t="s">
        <v>74</v>
      </c>
      <c r="BJ463" s="44" t="s">
        <v>74</v>
      </c>
      <c r="BK463" s="44" t="s">
        <v>74</v>
      </c>
      <c r="BL463" s="45" t="s">
        <v>74</v>
      </c>
      <c r="BM463" s="45" t="s">
        <v>74</v>
      </c>
      <c r="BN463" s="44" t="s">
        <v>74</v>
      </c>
      <c r="BO463" s="62" t="s">
        <v>74</v>
      </c>
      <c r="BP463" s="62" t="s">
        <v>74</v>
      </c>
      <c r="BQ463" s="62" t="s">
        <v>74</v>
      </c>
      <c r="BR463" s="62" t="s">
        <v>74</v>
      </c>
      <c r="BS463" s="53" t="s">
        <v>74</v>
      </c>
      <c r="BT463" s="44" t="s">
        <v>74</v>
      </c>
      <c r="BU463" s="44" t="s">
        <v>74</v>
      </c>
      <c r="BV463" s="44" t="s">
        <v>74</v>
      </c>
      <c r="BW463" s="44" t="s">
        <v>74</v>
      </c>
      <c r="BX463" s="44" t="s">
        <v>74</v>
      </c>
      <c r="BY463" s="44" t="s">
        <v>74</v>
      </c>
    </row>
  </sheetData>
  <mergeCells count="1">
    <mergeCell ref="B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F8393-6959-4636-B29B-04565AF88497}">
  <dimension ref="A1:J68"/>
  <sheetViews>
    <sheetView zoomScale="90" zoomScaleNormal="90" workbookViewId="0">
      <selection activeCell="H17" sqref="H17"/>
    </sheetView>
  </sheetViews>
  <sheetFormatPr defaultRowHeight="14.5"/>
  <cols>
    <col min="1" max="1" width="5.453125" bestFit="1" customWidth="1"/>
    <col min="4" max="4" width="53.1796875" bestFit="1" customWidth="1"/>
    <col min="5" max="5" width="10.1796875" bestFit="1" customWidth="1"/>
    <col min="6" max="6" width="7" bestFit="1" customWidth="1"/>
    <col min="7" max="7" width="3.54296875" customWidth="1"/>
    <col min="8" max="10" width="15.54296875" customWidth="1"/>
  </cols>
  <sheetData>
    <row r="1" spans="1:10">
      <c r="A1" s="1" t="s">
        <v>1109</v>
      </c>
    </row>
    <row r="2" spans="1:10" ht="15" thickBot="1"/>
    <row r="3" spans="1:10" ht="36.75" customHeight="1" thickBot="1">
      <c r="A3" s="196" t="s">
        <v>0</v>
      </c>
      <c r="B3" s="197" t="s">
        <v>7</v>
      </c>
      <c r="C3" s="198" t="s">
        <v>1</v>
      </c>
      <c r="D3" s="199" t="s">
        <v>2</v>
      </c>
      <c r="E3" s="228" t="s">
        <v>1091</v>
      </c>
      <c r="F3" s="199" t="s">
        <v>1092</v>
      </c>
      <c r="H3" s="281" t="s">
        <v>1111</v>
      </c>
      <c r="I3" s="281" t="s">
        <v>1110</v>
      </c>
      <c r="J3" s="281" t="s">
        <v>48</v>
      </c>
    </row>
    <row r="4" spans="1:10">
      <c r="A4" s="230">
        <v>1017</v>
      </c>
      <c r="B4" s="205">
        <v>103130</v>
      </c>
      <c r="C4" s="205" t="s">
        <v>232</v>
      </c>
      <c r="D4" s="205" t="s">
        <v>233</v>
      </c>
      <c r="E4" s="205" t="s">
        <v>180</v>
      </c>
      <c r="F4" s="243" t="s">
        <v>229</v>
      </c>
      <c r="H4" s="273">
        <f>_xlfn.XLOOKUP(A4,Grants!A:A,Grants!AN:AN,0,0)</f>
        <v>0</v>
      </c>
      <c r="I4" s="273"/>
      <c r="J4" s="273">
        <f>H4+I4</f>
        <v>0</v>
      </c>
    </row>
    <row r="5" spans="1:10">
      <c r="A5" s="231">
        <v>2300</v>
      </c>
      <c r="B5" s="4">
        <v>103324</v>
      </c>
      <c r="C5" s="4" t="s">
        <v>235</v>
      </c>
      <c r="D5" s="4" t="s">
        <v>236</v>
      </c>
      <c r="E5" s="4" t="s">
        <v>5</v>
      </c>
      <c r="F5" s="232" t="s">
        <v>229</v>
      </c>
      <c r="H5" s="273">
        <f>_xlfn.XLOOKUP(A5,Grants!A:A,Grants!AN:AN,0,0)</f>
        <v>265506.25</v>
      </c>
      <c r="I5" s="273"/>
      <c r="J5" s="273">
        <f t="shared" ref="J5:J66" si="0">H5+I5</f>
        <v>265506.25</v>
      </c>
    </row>
    <row r="6" spans="1:10">
      <c r="A6" s="231">
        <v>7016</v>
      </c>
      <c r="B6" s="4">
        <v>103606</v>
      </c>
      <c r="C6" s="4" t="s">
        <v>238</v>
      </c>
      <c r="D6" s="4" t="s">
        <v>239</v>
      </c>
      <c r="E6" s="4" t="s">
        <v>1093</v>
      </c>
      <c r="F6" s="232" t="s">
        <v>229</v>
      </c>
      <c r="H6" s="273">
        <f>_xlfn.XLOOKUP(A6,Grants!A:A,Grants!AN:AN,0,0)</f>
        <v>236243.18000000002</v>
      </c>
      <c r="I6" s="273"/>
      <c r="J6" s="273">
        <f t="shared" si="0"/>
        <v>236243.18000000002</v>
      </c>
    </row>
    <row r="7" spans="1:10">
      <c r="A7" s="231">
        <v>5413</v>
      </c>
      <c r="B7" s="4">
        <v>103560</v>
      </c>
      <c r="C7" s="4" t="s">
        <v>241</v>
      </c>
      <c r="D7" s="4" t="s">
        <v>242</v>
      </c>
      <c r="E7" s="4" t="s">
        <v>6</v>
      </c>
      <c r="F7" s="232" t="s">
        <v>229</v>
      </c>
      <c r="H7" s="273">
        <f>_xlfn.XLOOKUP(A7,Grants!A:A,Grants!AN:AN,0,0)</f>
        <v>274616.88</v>
      </c>
      <c r="I7" s="273"/>
      <c r="J7" s="273">
        <f t="shared" si="0"/>
        <v>274616.88</v>
      </c>
    </row>
    <row r="8" spans="1:10">
      <c r="A8" s="231">
        <v>2402</v>
      </c>
      <c r="B8" s="4">
        <v>103342</v>
      </c>
      <c r="C8" s="4" t="s">
        <v>244</v>
      </c>
      <c r="D8" s="4" t="s">
        <v>245</v>
      </c>
      <c r="E8" s="4" t="s">
        <v>5</v>
      </c>
      <c r="F8" s="232" t="s">
        <v>229</v>
      </c>
      <c r="H8" s="273">
        <f>_xlfn.XLOOKUP(A8,Grants!A:A,Grants!AN:AN,0,0)</f>
        <v>167999.25</v>
      </c>
      <c r="I8" s="273"/>
      <c r="J8" s="273">
        <f t="shared" si="0"/>
        <v>167999.25</v>
      </c>
    </row>
    <row r="9" spans="1:10">
      <c r="A9" s="231">
        <v>2401</v>
      </c>
      <c r="B9" s="4">
        <v>103341</v>
      </c>
      <c r="C9" s="4" t="s">
        <v>247</v>
      </c>
      <c r="D9" s="4" t="s">
        <v>248</v>
      </c>
      <c r="E9" s="4" t="s">
        <v>5</v>
      </c>
      <c r="F9" s="232" t="s">
        <v>229</v>
      </c>
      <c r="H9" s="273">
        <f>_xlfn.XLOOKUP(A9,Grants!A:A,Grants!AN:AN,0,0)</f>
        <v>65211.75</v>
      </c>
      <c r="I9" s="273"/>
      <c r="J9" s="273">
        <f t="shared" si="0"/>
        <v>65211.75</v>
      </c>
    </row>
    <row r="10" spans="1:10">
      <c r="A10" s="231">
        <v>4115</v>
      </c>
      <c r="B10" s="4">
        <v>103493</v>
      </c>
      <c r="C10" s="4" t="s">
        <v>250</v>
      </c>
      <c r="D10" s="4" t="s">
        <v>251</v>
      </c>
      <c r="E10" s="4" t="s">
        <v>6</v>
      </c>
      <c r="F10" s="232" t="s">
        <v>229</v>
      </c>
      <c r="H10" s="273">
        <f>_xlfn.XLOOKUP(A10,Grants!A:A,Grants!AN:AN,0,0)</f>
        <v>237908.63</v>
      </c>
      <c r="I10" s="273"/>
      <c r="J10" s="273">
        <f t="shared" si="0"/>
        <v>237908.63</v>
      </c>
    </row>
    <row r="11" spans="1:10">
      <c r="A11" s="231">
        <v>2030</v>
      </c>
      <c r="B11" s="4">
        <v>103172</v>
      </c>
      <c r="C11" s="4" t="s">
        <v>253</v>
      </c>
      <c r="D11" s="4" t="s">
        <v>254</v>
      </c>
      <c r="E11" s="4" t="s">
        <v>5</v>
      </c>
      <c r="F11" s="232" t="s">
        <v>229</v>
      </c>
      <c r="H11" s="273">
        <f>_xlfn.XLOOKUP(A11,Grants!A:A,Grants!AN:AN,0,0)</f>
        <v>253165.63</v>
      </c>
      <c r="I11" s="273"/>
      <c r="J11" s="273">
        <f t="shared" si="0"/>
        <v>253165.63</v>
      </c>
    </row>
    <row r="12" spans="1:10">
      <c r="A12" s="231">
        <v>2238</v>
      </c>
      <c r="B12" s="4">
        <v>103288</v>
      </c>
      <c r="C12" s="4" t="s">
        <v>256</v>
      </c>
      <c r="D12" s="4" t="s">
        <v>257</v>
      </c>
      <c r="E12" s="4" t="s">
        <v>5</v>
      </c>
      <c r="F12" s="232" t="s">
        <v>229</v>
      </c>
      <c r="H12" s="273">
        <f>_xlfn.XLOOKUP(A12,Grants!A:A,Grants!AN:AN,0,0)</f>
        <v>89742.13</v>
      </c>
      <c r="I12" s="273"/>
      <c r="J12" s="273">
        <f t="shared" si="0"/>
        <v>89742.13</v>
      </c>
    </row>
    <row r="13" spans="1:10">
      <c r="A13" s="231">
        <v>2236</v>
      </c>
      <c r="B13" s="4">
        <v>103286</v>
      </c>
      <c r="C13" s="4" t="s">
        <v>259</v>
      </c>
      <c r="D13" s="4" t="s">
        <v>260</v>
      </c>
      <c r="E13" s="4" t="s">
        <v>5</v>
      </c>
      <c r="F13" s="232" t="s">
        <v>229</v>
      </c>
      <c r="H13" s="273">
        <f>_xlfn.XLOOKUP(A13,Grants!A:A,Grants!AN:AN,0,0)</f>
        <v>82793.25</v>
      </c>
      <c r="I13" s="273"/>
      <c r="J13" s="273">
        <f t="shared" si="0"/>
        <v>82793.25</v>
      </c>
    </row>
    <row r="14" spans="1:10">
      <c r="A14" s="231">
        <v>4801</v>
      </c>
      <c r="B14" s="4">
        <v>103539</v>
      </c>
      <c r="C14" s="4" t="s">
        <v>262</v>
      </c>
      <c r="D14" s="4" t="s">
        <v>263</v>
      </c>
      <c r="E14" s="4" t="s">
        <v>6</v>
      </c>
      <c r="F14" s="232" t="s">
        <v>229</v>
      </c>
      <c r="H14" s="273">
        <f>_xlfn.XLOOKUP(A14,Grants!A:A,Grants!AN:AN,0,0)</f>
        <v>231280</v>
      </c>
      <c r="I14" s="273"/>
      <c r="J14" s="273">
        <f t="shared" si="0"/>
        <v>231280</v>
      </c>
    </row>
    <row r="15" spans="1:10">
      <c r="A15" s="231">
        <v>2312</v>
      </c>
      <c r="B15" s="4">
        <v>103332</v>
      </c>
      <c r="C15" s="4" t="s">
        <v>265</v>
      </c>
      <c r="D15" s="4" t="s">
        <v>266</v>
      </c>
      <c r="E15" s="4" t="s">
        <v>5</v>
      </c>
      <c r="F15" s="232" t="s">
        <v>229</v>
      </c>
      <c r="H15" s="273">
        <f>_xlfn.XLOOKUP(A15,Grants!A:A,Grants!AN:AN,0,0)</f>
        <v>142559.25</v>
      </c>
      <c r="I15" s="273"/>
      <c r="J15" s="273">
        <f t="shared" si="0"/>
        <v>142559.25</v>
      </c>
    </row>
    <row r="16" spans="1:10">
      <c r="A16" s="231">
        <v>7051</v>
      </c>
      <c r="B16" s="4">
        <v>103626</v>
      </c>
      <c r="C16" s="4" t="s">
        <v>268</v>
      </c>
      <c r="D16" s="4" t="s">
        <v>269</v>
      </c>
      <c r="E16" s="4" t="s">
        <v>1093</v>
      </c>
      <c r="F16" s="232" t="s">
        <v>229</v>
      </c>
      <c r="H16" s="273">
        <f>_xlfn.XLOOKUP(A16,Grants!A:A,Grants!AN:AN,0,0)</f>
        <v>170296.46</v>
      </c>
      <c r="I16" s="273"/>
      <c r="J16" s="273">
        <f t="shared" si="0"/>
        <v>170296.46</v>
      </c>
    </row>
    <row r="17" spans="1:10">
      <c r="A17" s="231">
        <v>2251</v>
      </c>
      <c r="B17" s="4">
        <v>103298</v>
      </c>
      <c r="C17" s="4" t="s">
        <v>271</v>
      </c>
      <c r="D17" s="4" t="s">
        <v>272</v>
      </c>
      <c r="E17" s="4" t="s">
        <v>5</v>
      </c>
      <c r="F17" s="232" t="s">
        <v>229</v>
      </c>
      <c r="H17" s="273">
        <f>_xlfn.XLOOKUP(A17,Grants!A:A,Grants!AN:AN,0,0)</f>
        <v>144449.75</v>
      </c>
      <c r="I17" s="273"/>
      <c r="J17" s="273">
        <f t="shared" si="0"/>
        <v>144449.75</v>
      </c>
    </row>
    <row r="18" spans="1:10">
      <c r="A18" s="231">
        <v>3002</v>
      </c>
      <c r="B18" s="4">
        <v>103397</v>
      </c>
      <c r="C18" s="4" t="s">
        <v>274</v>
      </c>
      <c r="D18" s="4" t="s">
        <v>275</v>
      </c>
      <c r="E18" s="4" t="s">
        <v>5</v>
      </c>
      <c r="F18" s="232" t="s">
        <v>229</v>
      </c>
      <c r="H18" s="273">
        <f>_xlfn.XLOOKUP(A18,Grants!A:A,Grants!AN:AN,0,0)</f>
        <v>89136.5</v>
      </c>
      <c r="I18" s="273"/>
      <c r="J18" s="273">
        <f t="shared" si="0"/>
        <v>89136.5</v>
      </c>
    </row>
    <row r="19" spans="1:10">
      <c r="A19" s="231">
        <v>3319</v>
      </c>
      <c r="B19" s="4">
        <v>103423</v>
      </c>
      <c r="C19" s="4" t="s">
        <v>277</v>
      </c>
      <c r="D19" s="4" t="s">
        <v>278</v>
      </c>
      <c r="E19" s="4" t="s">
        <v>5</v>
      </c>
      <c r="F19" s="232" t="s">
        <v>229</v>
      </c>
      <c r="H19" s="273">
        <f>_xlfn.XLOOKUP(A19,Grants!A:A,Grants!AN:AN,0,0)</f>
        <v>145548.38</v>
      </c>
      <c r="I19" s="273"/>
      <c r="J19" s="273">
        <f t="shared" si="0"/>
        <v>145548.38</v>
      </c>
    </row>
    <row r="20" spans="1:10">
      <c r="A20" s="231">
        <v>5416</v>
      </c>
      <c r="B20" s="4">
        <v>103563</v>
      </c>
      <c r="C20" s="4" t="s">
        <v>280</v>
      </c>
      <c r="D20" s="4" t="s">
        <v>281</v>
      </c>
      <c r="E20" s="4" t="s">
        <v>6</v>
      </c>
      <c r="F20" s="232" t="s">
        <v>229</v>
      </c>
      <c r="H20" s="273">
        <f>_xlfn.XLOOKUP(A20,Grants!A:A,Grants!AN:AN,0,0)</f>
        <v>475286</v>
      </c>
      <c r="I20" s="273"/>
      <c r="J20" s="273">
        <f t="shared" si="0"/>
        <v>475286</v>
      </c>
    </row>
    <row r="21" spans="1:10">
      <c r="A21" s="231">
        <v>2054</v>
      </c>
      <c r="B21" s="4">
        <v>103189</v>
      </c>
      <c r="C21" s="4" t="s">
        <v>283</v>
      </c>
      <c r="D21" s="4" t="s">
        <v>284</v>
      </c>
      <c r="E21" s="4" t="s">
        <v>5</v>
      </c>
      <c r="F21" s="232" t="s">
        <v>229</v>
      </c>
      <c r="H21" s="273">
        <f>_xlfn.XLOOKUP(A21,Grants!A:A,Grants!AN:AN,0,0)</f>
        <v>195122.88</v>
      </c>
      <c r="I21" s="273"/>
      <c r="J21" s="273">
        <f t="shared" si="0"/>
        <v>195122.88</v>
      </c>
    </row>
    <row r="22" spans="1:10">
      <c r="A22" s="231">
        <v>2053</v>
      </c>
      <c r="B22" s="4">
        <v>103188</v>
      </c>
      <c r="C22" s="4" t="s">
        <v>286</v>
      </c>
      <c r="D22" s="4" t="s">
        <v>287</v>
      </c>
      <c r="E22" s="4" t="s">
        <v>5</v>
      </c>
      <c r="F22" s="232" t="s">
        <v>229</v>
      </c>
      <c r="H22" s="273">
        <f>_xlfn.XLOOKUP(A22,Grants!A:A,Grants!AN:AN,0,0)</f>
        <v>105246</v>
      </c>
      <c r="I22" s="273"/>
      <c r="J22" s="273">
        <f t="shared" si="0"/>
        <v>105246</v>
      </c>
    </row>
    <row r="23" spans="1:10">
      <c r="A23" s="231">
        <v>2055</v>
      </c>
      <c r="B23" s="4">
        <v>103190</v>
      </c>
      <c r="C23" s="4" t="s">
        <v>289</v>
      </c>
      <c r="D23" s="4" t="s">
        <v>290</v>
      </c>
      <c r="E23" s="4" t="s">
        <v>5</v>
      </c>
      <c r="F23" s="232" t="s">
        <v>229</v>
      </c>
      <c r="H23" s="273">
        <f>_xlfn.XLOOKUP(A23,Grants!A:A,Grants!AN:AN,0,0)</f>
        <v>159627</v>
      </c>
      <c r="I23" s="273"/>
      <c r="J23" s="273">
        <f t="shared" si="0"/>
        <v>159627</v>
      </c>
    </row>
    <row r="24" spans="1:10">
      <c r="A24" s="231">
        <v>2486</v>
      </c>
      <c r="B24" s="4">
        <v>133759</v>
      </c>
      <c r="C24" s="4" t="s">
        <v>292</v>
      </c>
      <c r="D24" s="4" t="s">
        <v>293</v>
      </c>
      <c r="E24" s="4" t="s">
        <v>5</v>
      </c>
      <c r="F24" s="232" t="s">
        <v>229</v>
      </c>
      <c r="H24" s="273">
        <f>_xlfn.XLOOKUP(A24,Grants!A:A,Grants!AN:AN,0,0)</f>
        <v>102149.25</v>
      </c>
      <c r="I24" s="273"/>
      <c r="J24" s="273">
        <f t="shared" si="0"/>
        <v>102149.25</v>
      </c>
    </row>
    <row r="25" spans="1:10">
      <c r="A25" s="231">
        <v>2296</v>
      </c>
      <c r="B25" s="4">
        <v>103320</v>
      </c>
      <c r="C25" s="4" t="s">
        <v>295</v>
      </c>
      <c r="D25" s="4" t="s">
        <v>297</v>
      </c>
      <c r="E25" s="4" t="s">
        <v>5</v>
      </c>
      <c r="F25" s="232" t="s">
        <v>296</v>
      </c>
      <c r="H25" s="273">
        <f>_xlfn.XLOOKUP(A25,Grants!A:A,Grants!AN:AN,0,0)</f>
        <v>109281.63</v>
      </c>
      <c r="I25" s="273"/>
      <c r="J25" s="273">
        <f t="shared" si="0"/>
        <v>109281.63</v>
      </c>
    </row>
    <row r="26" spans="1:10">
      <c r="A26" s="231">
        <v>2092</v>
      </c>
      <c r="B26" s="4">
        <v>103209</v>
      </c>
      <c r="C26" s="4" t="s">
        <v>299</v>
      </c>
      <c r="D26" s="4" t="s">
        <v>300</v>
      </c>
      <c r="E26" s="4" t="s">
        <v>5</v>
      </c>
      <c r="F26" s="232" t="s">
        <v>229</v>
      </c>
      <c r="H26" s="273">
        <f>_xlfn.XLOOKUP(A26,Grants!A:A,Grants!AN:AN,0,0)</f>
        <v>112233.25</v>
      </c>
      <c r="I26" s="273"/>
      <c r="J26" s="273">
        <f t="shared" si="0"/>
        <v>112233.25</v>
      </c>
    </row>
    <row r="27" spans="1:10">
      <c r="A27" s="231">
        <v>4201</v>
      </c>
      <c r="B27" s="4">
        <v>103503</v>
      </c>
      <c r="C27" s="4" t="s">
        <v>302</v>
      </c>
      <c r="D27" s="4" t="s">
        <v>303</v>
      </c>
      <c r="E27" s="4" t="s">
        <v>6</v>
      </c>
      <c r="F27" s="232" t="s">
        <v>229</v>
      </c>
      <c r="H27" s="273">
        <f>_xlfn.XLOOKUP(A27,Grants!A:A,Grants!AN:AN,0,0)</f>
        <v>352874.38</v>
      </c>
      <c r="I27" s="273"/>
      <c r="J27" s="273">
        <f t="shared" si="0"/>
        <v>352874.38</v>
      </c>
    </row>
    <row r="28" spans="1:10">
      <c r="A28" s="231">
        <v>4015</v>
      </c>
      <c r="B28" s="4">
        <v>103483</v>
      </c>
      <c r="C28" s="4" t="s">
        <v>305</v>
      </c>
      <c r="D28" s="4" t="s">
        <v>306</v>
      </c>
      <c r="E28" s="4" t="s">
        <v>6</v>
      </c>
      <c r="F28" s="232" t="s">
        <v>229</v>
      </c>
      <c r="H28" s="273">
        <f>_xlfn.XLOOKUP(A28,Grants!A:A,Grants!AN:AN,0,0)</f>
        <v>206392.63</v>
      </c>
      <c r="I28" s="273"/>
      <c r="J28" s="273">
        <f t="shared" si="0"/>
        <v>206392.63</v>
      </c>
    </row>
    <row r="29" spans="1:10">
      <c r="A29" s="231">
        <v>4223</v>
      </c>
      <c r="B29" s="4">
        <v>103509</v>
      </c>
      <c r="C29" s="4" t="s">
        <v>308</v>
      </c>
      <c r="D29" s="4" t="s">
        <v>309</v>
      </c>
      <c r="E29" s="4" t="s">
        <v>6</v>
      </c>
      <c r="F29" s="232" t="s">
        <v>229</v>
      </c>
      <c r="H29" s="273">
        <f>_xlfn.XLOOKUP(A29,Grants!A:A,Grants!AN:AN,0,0)</f>
        <v>358945.13</v>
      </c>
      <c r="I29" s="273"/>
      <c r="J29" s="273">
        <f t="shared" si="0"/>
        <v>358945.13</v>
      </c>
    </row>
    <row r="30" spans="1:10">
      <c r="A30" s="231">
        <v>2015</v>
      </c>
      <c r="B30" s="4">
        <v>134102</v>
      </c>
      <c r="C30" s="4" t="s">
        <v>311</v>
      </c>
      <c r="D30" s="4" t="s">
        <v>312</v>
      </c>
      <c r="E30" s="4" t="s">
        <v>5</v>
      </c>
      <c r="F30" s="232" t="s">
        <v>229</v>
      </c>
      <c r="H30" s="273">
        <f>_xlfn.XLOOKUP(A30,Grants!A:A,Grants!AN:AN,0,0)</f>
        <v>175151.88</v>
      </c>
      <c r="I30" s="273"/>
      <c r="J30" s="273">
        <f t="shared" si="0"/>
        <v>175151.88</v>
      </c>
    </row>
    <row r="31" spans="1:10">
      <c r="A31" s="231">
        <v>2462</v>
      </c>
      <c r="B31" s="4">
        <v>103388</v>
      </c>
      <c r="C31" s="4" t="s">
        <v>314</v>
      </c>
      <c r="D31" s="4" t="s">
        <v>315</v>
      </c>
      <c r="E31" s="4" t="s">
        <v>5</v>
      </c>
      <c r="F31" s="232" t="s">
        <v>229</v>
      </c>
      <c r="H31" s="273">
        <f>_xlfn.XLOOKUP(A31,Grants!A:A,Grants!AN:AN,0,0)</f>
        <v>134126.13</v>
      </c>
      <c r="I31" s="273"/>
      <c r="J31" s="273">
        <f t="shared" si="0"/>
        <v>134126.13</v>
      </c>
    </row>
    <row r="32" spans="1:10">
      <c r="A32" s="231">
        <v>2127</v>
      </c>
      <c r="B32" s="4">
        <v>103227</v>
      </c>
      <c r="C32" s="4" t="s">
        <v>317</v>
      </c>
      <c r="D32" s="4" t="s">
        <v>318</v>
      </c>
      <c r="E32" s="4" t="s">
        <v>5</v>
      </c>
      <c r="F32" s="232" t="s">
        <v>229</v>
      </c>
      <c r="H32" s="273">
        <f>_xlfn.XLOOKUP(A32,Grants!A:A,Grants!AN:AN,0,0)</f>
        <v>193800.63</v>
      </c>
      <c r="I32" s="273"/>
      <c r="J32" s="273">
        <f t="shared" si="0"/>
        <v>193800.63</v>
      </c>
    </row>
    <row r="33" spans="1:10">
      <c r="A33" s="231">
        <v>2129</v>
      </c>
      <c r="B33" s="4">
        <v>103229</v>
      </c>
      <c r="C33" s="4" t="s">
        <v>320</v>
      </c>
      <c r="D33" s="4" t="s">
        <v>321</v>
      </c>
      <c r="E33" s="4" t="s">
        <v>5</v>
      </c>
      <c r="F33" s="232" t="s">
        <v>229</v>
      </c>
      <c r="H33" s="273">
        <f>_xlfn.XLOOKUP(A33,Grants!A:A,Grants!AN:AN,0,0)</f>
        <v>136005</v>
      </c>
      <c r="I33" s="273"/>
      <c r="J33" s="273">
        <f t="shared" si="0"/>
        <v>136005</v>
      </c>
    </row>
    <row r="34" spans="1:10">
      <c r="A34" s="231">
        <v>2128</v>
      </c>
      <c r="B34" s="4">
        <v>103228</v>
      </c>
      <c r="C34" s="4" t="s">
        <v>323</v>
      </c>
      <c r="D34" s="4" t="s">
        <v>324</v>
      </c>
      <c r="E34" s="4" t="s">
        <v>5</v>
      </c>
      <c r="F34" s="232" t="s">
        <v>229</v>
      </c>
      <c r="H34" s="273">
        <f>_xlfn.XLOOKUP(A34,Grants!A:A,Grants!AN:AN,0,0)</f>
        <v>92289.75</v>
      </c>
      <c r="I34" s="273"/>
      <c r="J34" s="273">
        <f t="shared" si="0"/>
        <v>92289.75</v>
      </c>
    </row>
    <row r="35" spans="1:10">
      <c r="A35" s="231">
        <v>2133</v>
      </c>
      <c r="B35" s="4">
        <v>103233</v>
      </c>
      <c r="C35" s="4" t="s">
        <v>326</v>
      </c>
      <c r="D35" s="4" t="s">
        <v>327</v>
      </c>
      <c r="E35" s="4" t="s">
        <v>5</v>
      </c>
      <c r="F35" s="232" t="s">
        <v>229</v>
      </c>
      <c r="H35" s="273">
        <f>_xlfn.XLOOKUP(A35,Grants!A:A,Grants!AN:AN,0,0)</f>
        <v>183434.38</v>
      </c>
      <c r="I35" s="273"/>
      <c r="J35" s="273">
        <f t="shared" si="0"/>
        <v>183434.38</v>
      </c>
    </row>
    <row r="36" spans="1:10">
      <c r="A36" s="231">
        <v>3322</v>
      </c>
      <c r="B36" s="4">
        <v>103426</v>
      </c>
      <c r="C36" s="4" t="s">
        <v>329</v>
      </c>
      <c r="D36" s="4" t="s">
        <v>330</v>
      </c>
      <c r="E36" s="4" t="s">
        <v>5</v>
      </c>
      <c r="F36" s="232" t="s">
        <v>229</v>
      </c>
      <c r="H36" s="273">
        <f>_xlfn.XLOOKUP(A36,Grants!A:A,Grants!AN:AN,0,0)</f>
        <v>83049.5</v>
      </c>
      <c r="I36" s="273"/>
      <c r="J36" s="273">
        <f t="shared" si="0"/>
        <v>83049.5</v>
      </c>
    </row>
    <row r="37" spans="1:10">
      <c r="A37" s="231">
        <v>2416</v>
      </c>
      <c r="B37" s="4">
        <v>103351</v>
      </c>
      <c r="C37" s="4" t="s">
        <v>332</v>
      </c>
      <c r="D37" s="4" t="s">
        <v>333</v>
      </c>
      <c r="E37" s="4" t="s">
        <v>5</v>
      </c>
      <c r="F37" s="232" t="s">
        <v>229</v>
      </c>
      <c r="H37" s="273">
        <f>_xlfn.XLOOKUP(A37,Grants!A:A,Grants!AN:AN,0,0)</f>
        <v>134886.5</v>
      </c>
      <c r="I37" s="273"/>
      <c r="J37" s="273">
        <f t="shared" si="0"/>
        <v>134886.5</v>
      </c>
    </row>
    <row r="38" spans="1:10">
      <c r="A38" s="231">
        <v>4245</v>
      </c>
      <c r="B38" s="4">
        <v>103519</v>
      </c>
      <c r="C38" s="4" t="s">
        <v>335</v>
      </c>
      <c r="D38" s="4" t="s">
        <v>336</v>
      </c>
      <c r="E38" s="4" t="s">
        <v>6</v>
      </c>
      <c r="F38" s="232" t="s">
        <v>229</v>
      </c>
      <c r="H38" s="273">
        <f>_xlfn.XLOOKUP(A38,Grants!A:A,Grants!AN:AN,0,0)</f>
        <v>447327.88</v>
      </c>
      <c r="I38" s="273"/>
      <c r="J38" s="273">
        <f t="shared" si="0"/>
        <v>447327.88</v>
      </c>
    </row>
    <row r="39" spans="1:10">
      <c r="A39" s="231">
        <v>7053</v>
      </c>
      <c r="B39" s="4">
        <v>103628</v>
      </c>
      <c r="C39" s="4" t="s">
        <v>338</v>
      </c>
      <c r="D39" s="4" t="s">
        <v>339</v>
      </c>
      <c r="E39" s="4" t="s">
        <v>1093</v>
      </c>
      <c r="F39" s="232" t="s">
        <v>229</v>
      </c>
      <c r="H39" s="273">
        <f>_xlfn.XLOOKUP(A39,Grants!A:A,Grants!AN:AN,0,0)</f>
        <v>238840.81</v>
      </c>
      <c r="I39" s="273"/>
      <c r="J39" s="273">
        <f t="shared" si="0"/>
        <v>238840.81</v>
      </c>
    </row>
    <row r="40" spans="1:10">
      <c r="A40" s="231">
        <v>4173</v>
      </c>
      <c r="B40" s="4">
        <v>103497</v>
      </c>
      <c r="C40" s="4" t="s">
        <v>341</v>
      </c>
      <c r="D40" s="4" t="s">
        <v>342</v>
      </c>
      <c r="E40" s="4" t="s">
        <v>6</v>
      </c>
      <c r="F40" s="232" t="s">
        <v>229</v>
      </c>
      <c r="H40" s="273">
        <f>_xlfn.XLOOKUP(A40,Grants!A:A,Grants!AN:AN,0,0)</f>
        <v>216640</v>
      </c>
      <c r="I40" s="273"/>
      <c r="J40" s="273">
        <f t="shared" si="0"/>
        <v>216640</v>
      </c>
    </row>
    <row r="41" spans="1:10">
      <c r="A41" s="231">
        <v>7033</v>
      </c>
      <c r="B41" s="4">
        <v>103613</v>
      </c>
      <c r="C41" s="4" t="s">
        <v>344</v>
      </c>
      <c r="D41" s="4" t="s">
        <v>345</v>
      </c>
      <c r="E41" s="4" t="s">
        <v>1093</v>
      </c>
      <c r="F41" s="232" t="s">
        <v>229</v>
      </c>
      <c r="H41" s="273">
        <f>_xlfn.XLOOKUP(A41,Grants!A:A,Grants!AN:AN,0,0)</f>
        <v>515353.97000000003</v>
      </c>
      <c r="I41" s="273"/>
      <c r="J41" s="273">
        <f t="shared" si="0"/>
        <v>515353.97000000003</v>
      </c>
    </row>
    <row r="42" spans="1:10">
      <c r="A42" s="231">
        <v>4177</v>
      </c>
      <c r="B42" s="4">
        <v>103498</v>
      </c>
      <c r="C42" s="4" t="s">
        <v>347</v>
      </c>
      <c r="D42" s="4" t="s">
        <v>348</v>
      </c>
      <c r="E42" s="4" t="s">
        <v>6</v>
      </c>
      <c r="F42" s="232" t="s">
        <v>229</v>
      </c>
      <c r="H42" s="273">
        <f>_xlfn.XLOOKUP(A42,Grants!A:A,Grants!AN:AN,0,0)</f>
        <v>256268.88</v>
      </c>
      <c r="I42" s="273"/>
      <c r="J42" s="273">
        <f t="shared" si="0"/>
        <v>256268.88</v>
      </c>
    </row>
    <row r="43" spans="1:10">
      <c r="A43" s="231">
        <v>1038</v>
      </c>
      <c r="B43" s="4">
        <v>103142</v>
      </c>
      <c r="C43" s="4" t="s">
        <v>350</v>
      </c>
      <c r="D43" s="4" t="s">
        <v>351</v>
      </c>
      <c r="E43" s="4" t="s">
        <v>180</v>
      </c>
      <c r="F43" s="232" t="s">
        <v>229</v>
      </c>
      <c r="H43" s="273">
        <f>_xlfn.XLOOKUP(A43,Grants!A:A,Grants!AN:AN,0,0)</f>
        <v>0</v>
      </c>
      <c r="I43" s="273"/>
      <c r="J43" s="273">
        <f t="shared" si="0"/>
        <v>0</v>
      </c>
    </row>
    <row r="44" spans="1:10">
      <c r="A44" s="231">
        <v>2174</v>
      </c>
      <c r="B44" s="4">
        <v>103255</v>
      </c>
      <c r="C44" s="4" t="s">
        <v>353</v>
      </c>
      <c r="D44" s="4" t="s">
        <v>354</v>
      </c>
      <c r="E44" s="4" t="s">
        <v>5</v>
      </c>
      <c r="F44" s="232" t="s">
        <v>229</v>
      </c>
      <c r="H44" s="273">
        <f>_xlfn.XLOOKUP(A44,Grants!A:A,Grants!AN:AN,0,0)</f>
        <v>171128</v>
      </c>
      <c r="I44" s="273"/>
      <c r="J44" s="273">
        <f t="shared" si="0"/>
        <v>171128</v>
      </c>
    </row>
    <row r="45" spans="1:10">
      <c r="A45" s="231">
        <v>3363</v>
      </c>
      <c r="B45" s="4">
        <v>103455</v>
      </c>
      <c r="C45" s="4" t="s">
        <v>356</v>
      </c>
      <c r="D45" s="4" t="s">
        <v>357</v>
      </c>
      <c r="E45" s="4" t="s">
        <v>5</v>
      </c>
      <c r="F45" s="232" t="s">
        <v>229</v>
      </c>
      <c r="H45" s="273">
        <f>_xlfn.XLOOKUP(A45,Grants!A:A,Grants!AN:AN,0,0)</f>
        <v>128466.88</v>
      </c>
      <c r="I45" s="273"/>
      <c r="J45" s="273">
        <f t="shared" si="0"/>
        <v>128466.88</v>
      </c>
    </row>
    <row r="46" spans="1:10">
      <c r="A46" s="231">
        <v>3377</v>
      </c>
      <c r="B46" s="4">
        <v>103463</v>
      </c>
      <c r="C46" s="4" t="s">
        <v>359</v>
      </c>
      <c r="D46" s="4" t="s">
        <v>360</v>
      </c>
      <c r="E46" s="4" t="s">
        <v>5</v>
      </c>
      <c r="F46" s="232" t="s">
        <v>229</v>
      </c>
      <c r="H46" s="273">
        <f>_xlfn.XLOOKUP(A46,Grants!A:A,Grants!AN:AN,0,0)</f>
        <v>93692.75</v>
      </c>
      <c r="I46" s="273"/>
      <c r="J46" s="273">
        <f t="shared" si="0"/>
        <v>93692.75</v>
      </c>
    </row>
    <row r="47" spans="1:10">
      <c r="A47" s="231">
        <v>3371</v>
      </c>
      <c r="B47" s="4">
        <v>103459</v>
      </c>
      <c r="C47" s="4" t="s">
        <v>362</v>
      </c>
      <c r="D47" s="4" t="s">
        <v>363</v>
      </c>
      <c r="E47" s="4" t="s">
        <v>5</v>
      </c>
      <c r="F47" s="232" t="s">
        <v>229</v>
      </c>
      <c r="H47" s="273">
        <f>_xlfn.XLOOKUP(A47,Grants!A:A,Grants!AN:AN,0,0)</f>
        <v>144431.25</v>
      </c>
      <c r="I47" s="273"/>
      <c r="J47" s="273">
        <f t="shared" si="0"/>
        <v>144431.25</v>
      </c>
    </row>
    <row r="48" spans="1:10">
      <c r="A48" s="231">
        <v>3016</v>
      </c>
      <c r="B48" s="4">
        <v>103404</v>
      </c>
      <c r="C48" s="4" t="s">
        <v>365</v>
      </c>
      <c r="D48" s="4" t="s">
        <v>366</v>
      </c>
      <c r="E48" s="4" t="s">
        <v>5</v>
      </c>
      <c r="F48" s="232" t="s">
        <v>229</v>
      </c>
      <c r="H48" s="273">
        <f>_xlfn.XLOOKUP(A48,Grants!A:A,Grants!AN:AN,0,0)</f>
        <v>105685.38</v>
      </c>
      <c r="I48" s="273"/>
      <c r="J48" s="273">
        <f t="shared" si="0"/>
        <v>105685.38</v>
      </c>
    </row>
    <row r="49" spans="1:10">
      <c r="A49" s="231">
        <v>4606</v>
      </c>
      <c r="B49" s="4">
        <v>103531</v>
      </c>
      <c r="C49" s="4" t="s">
        <v>368</v>
      </c>
      <c r="D49" s="4" t="s">
        <v>369</v>
      </c>
      <c r="E49" s="4" t="s">
        <v>6</v>
      </c>
      <c r="F49" s="232" t="s">
        <v>229</v>
      </c>
      <c r="H49" s="273">
        <f>_xlfn.XLOOKUP(A49,Grants!A:A,Grants!AN:AN,0,0)</f>
        <v>202333.75</v>
      </c>
      <c r="I49" s="273"/>
      <c r="J49" s="273">
        <f t="shared" si="0"/>
        <v>202333.75</v>
      </c>
    </row>
    <row r="50" spans="1:10">
      <c r="A50" s="231">
        <v>3428</v>
      </c>
      <c r="B50" s="4">
        <v>134476</v>
      </c>
      <c r="C50" s="4" t="s">
        <v>371</v>
      </c>
      <c r="D50" s="4" t="s">
        <v>372</v>
      </c>
      <c r="E50" s="4" t="s">
        <v>5</v>
      </c>
      <c r="F50" s="232" t="s">
        <v>229</v>
      </c>
      <c r="H50" s="273">
        <f>_xlfn.XLOOKUP(A50,Grants!A:A,Grants!AN:AN,0,0)</f>
        <v>136514</v>
      </c>
      <c r="I50" s="273"/>
      <c r="J50" s="273">
        <f t="shared" si="0"/>
        <v>136514</v>
      </c>
    </row>
    <row r="51" spans="1:10">
      <c r="A51" s="231">
        <v>4237</v>
      </c>
      <c r="B51" s="4">
        <v>103514</v>
      </c>
      <c r="C51" s="4" t="s">
        <v>374</v>
      </c>
      <c r="D51" s="4" t="s">
        <v>375</v>
      </c>
      <c r="E51" s="4" t="s">
        <v>6</v>
      </c>
      <c r="F51" s="232" t="s">
        <v>229</v>
      </c>
      <c r="H51" s="273">
        <f>_xlfn.XLOOKUP(A51,Grants!A:A,Grants!AN:AN,0,0)</f>
        <v>454639</v>
      </c>
      <c r="I51" s="273"/>
      <c r="J51" s="273">
        <f t="shared" si="0"/>
        <v>454639</v>
      </c>
    </row>
    <row r="52" spans="1:10">
      <c r="A52" s="231">
        <v>3323</v>
      </c>
      <c r="B52" s="4">
        <v>103427</v>
      </c>
      <c r="C52" s="4" t="s">
        <v>377</v>
      </c>
      <c r="D52" s="4" t="s">
        <v>378</v>
      </c>
      <c r="E52" s="4" t="s">
        <v>5</v>
      </c>
      <c r="F52" s="232" t="s">
        <v>229</v>
      </c>
      <c r="H52" s="273">
        <f>_xlfn.XLOOKUP(A52,Grants!A:A,Grants!AN:AN,0,0)</f>
        <v>92367.5</v>
      </c>
      <c r="I52" s="273"/>
      <c r="J52" s="273">
        <f t="shared" si="0"/>
        <v>92367.5</v>
      </c>
    </row>
    <row r="53" spans="1:10">
      <c r="A53" s="231">
        <v>7014</v>
      </c>
      <c r="B53" s="4">
        <v>103605</v>
      </c>
      <c r="C53" s="4" t="s">
        <v>380</v>
      </c>
      <c r="D53" s="4" t="s">
        <v>381</v>
      </c>
      <c r="E53" s="4" t="s">
        <v>1093</v>
      </c>
      <c r="F53" s="232" t="s">
        <v>229</v>
      </c>
      <c r="H53" s="273">
        <f>_xlfn.XLOOKUP(A53,Grants!A:A,Grants!AN:AN,0,0)</f>
        <v>371334.08</v>
      </c>
      <c r="I53" s="273"/>
      <c r="J53" s="273">
        <f t="shared" si="0"/>
        <v>371334.08</v>
      </c>
    </row>
    <row r="54" spans="1:10">
      <c r="A54" s="231">
        <v>7009</v>
      </c>
      <c r="B54" s="4">
        <v>103601</v>
      </c>
      <c r="C54" s="4" t="s">
        <v>383</v>
      </c>
      <c r="D54" s="4" t="s">
        <v>384</v>
      </c>
      <c r="E54" s="4" t="s">
        <v>1093</v>
      </c>
      <c r="F54" s="232" t="s">
        <v>229</v>
      </c>
      <c r="H54" s="273">
        <f>_xlfn.XLOOKUP(A54,Grants!A:A,Grants!AN:AN,0,0)</f>
        <v>316277.91000000003</v>
      </c>
      <c r="I54" s="273"/>
      <c r="J54" s="273">
        <f t="shared" si="0"/>
        <v>316277.91000000003</v>
      </c>
    </row>
    <row r="55" spans="1:10">
      <c r="A55" s="231">
        <v>5203</v>
      </c>
      <c r="B55" s="4">
        <v>103544</v>
      </c>
      <c r="C55" s="4" t="s">
        <v>386</v>
      </c>
      <c r="D55" s="4" t="s">
        <v>387</v>
      </c>
      <c r="E55" s="4" t="s">
        <v>5</v>
      </c>
      <c r="F55" s="232" t="s">
        <v>229</v>
      </c>
      <c r="H55" s="273">
        <f>_xlfn.XLOOKUP(A55,Grants!A:A,Grants!AN:AN,0,0)</f>
        <v>145215.13</v>
      </c>
      <c r="I55" s="273"/>
      <c r="J55" s="273">
        <f t="shared" si="0"/>
        <v>145215.13</v>
      </c>
    </row>
    <row r="56" spans="1:10">
      <c r="A56" s="231">
        <v>5202</v>
      </c>
      <c r="B56" s="4">
        <v>103543</v>
      </c>
      <c r="C56" s="4" t="s">
        <v>389</v>
      </c>
      <c r="D56" s="4" t="s">
        <v>390</v>
      </c>
      <c r="E56" s="4" t="s">
        <v>5</v>
      </c>
      <c r="F56" s="232" t="s">
        <v>229</v>
      </c>
      <c r="H56" s="273">
        <f>_xlfn.XLOOKUP(A56,Grants!A:A,Grants!AN:AN,0,0)</f>
        <v>55759.880000000005</v>
      </c>
      <c r="I56" s="273"/>
      <c r="J56" s="273">
        <f t="shared" si="0"/>
        <v>55759.880000000005</v>
      </c>
    </row>
    <row r="57" spans="1:10">
      <c r="A57" s="231">
        <v>2308</v>
      </c>
      <c r="B57" s="4">
        <v>103328</v>
      </c>
      <c r="C57" s="4" t="s">
        <v>392</v>
      </c>
      <c r="D57" s="4" t="s">
        <v>393</v>
      </c>
      <c r="E57" s="4" t="s">
        <v>5</v>
      </c>
      <c r="F57" s="232" t="s">
        <v>229</v>
      </c>
      <c r="H57" s="273">
        <f>_xlfn.XLOOKUP(A57,Grants!A:A,Grants!AN:AN,0,0)</f>
        <v>179662.38</v>
      </c>
      <c r="I57" s="273"/>
      <c r="J57" s="273">
        <f t="shared" si="0"/>
        <v>179662.38</v>
      </c>
    </row>
    <row r="58" spans="1:10">
      <c r="A58" s="231">
        <v>2011</v>
      </c>
      <c r="B58" s="4">
        <v>134099</v>
      </c>
      <c r="C58" s="4" t="s">
        <v>395</v>
      </c>
      <c r="D58" s="4" t="s">
        <v>396</v>
      </c>
      <c r="E58" s="4" t="s">
        <v>5</v>
      </c>
      <c r="F58" s="232" t="s">
        <v>229</v>
      </c>
      <c r="H58" s="273">
        <f>_xlfn.XLOOKUP(A58,Grants!A:A,Grants!AN:AN,0,0)</f>
        <v>219896</v>
      </c>
      <c r="I58" s="273"/>
      <c r="J58" s="273">
        <f t="shared" si="0"/>
        <v>219896</v>
      </c>
    </row>
    <row r="59" spans="1:10">
      <c r="A59" s="231">
        <v>4193</v>
      </c>
      <c r="B59" s="4">
        <v>103501</v>
      </c>
      <c r="C59" s="4" t="s">
        <v>398</v>
      </c>
      <c r="D59" s="4" t="s">
        <v>399</v>
      </c>
      <c r="E59" s="4" t="s">
        <v>6</v>
      </c>
      <c r="F59" s="232" t="s">
        <v>229</v>
      </c>
      <c r="H59" s="273">
        <f>_xlfn.XLOOKUP(A59,Grants!A:A,Grants!AN:AN,0,0)</f>
        <v>161087.5</v>
      </c>
      <c r="I59" s="273"/>
      <c r="J59" s="273">
        <f t="shared" si="0"/>
        <v>161087.5</v>
      </c>
    </row>
    <row r="60" spans="1:10">
      <c r="A60" s="231">
        <v>2293</v>
      </c>
      <c r="B60" s="4">
        <v>103317</v>
      </c>
      <c r="C60" s="4" t="s">
        <v>401</v>
      </c>
      <c r="D60" s="4" t="s">
        <v>402</v>
      </c>
      <c r="E60" s="4" t="s">
        <v>5</v>
      </c>
      <c r="F60" s="232" t="s">
        <v>229</v>
      </c>
      <c r="H60" s="273">
        <f>_xlfn.XLOOKUP(A60,Grants!A:A,Grants!AN:AN,0,0)</f>
        <v>230566.88</v>
      </c>
      <c r="I60" s="273"/>
      <c r="J60" s="273">
        <f t="shared" si="0"/>
        <v>230566.88</v>
      </c>
    </row>
    <row r="61" spans="1:10">
      <c r="A61" s="231">
        <v>2225</v>
      </c>
      <c r="B61" s="4">
        <v>103279</v>
      </c>
      <c r="C61" s="4" t="s">
        <v>404</v>
      </c>
      <c r="D61" s="4" t="s">
        <v>405</v>
      </c>
      <c r="E61" s="4" t="s">
        <v>5</v>
      </c>
      <c r="F61" s="232" t="s">
        <v>229</v>
      </c>
      <c r="H61" s="273">
        <f>_xlfn.XLOOKUP(A61,Grants!A:A,Grants!AN:AN,0,0)</f>
        <v>116520</v>
      </c>
      <c r="I61" s="273"/>
      <c r="J61" s="273">
        <f t="shared" si="0"/>
        <v>116520</v>
      </c>
    </row>
    <row r="62" spans="1:10">
      <c r="A62" s="231">
        <v>2412</v>
      </c>
      <c r="B62" s="4">
        <v>103349</v>
      </c>
      <c r="C62" s="4" t="s">
        <v>407</v>
      </c>
      <c r="D62" s="4" t="s">
        <v>408</v>
      </c>
      <c r="E62" s="4" t="s">
        <v>5</v>
      </c>
      <c r="F62" s="232" t="s">
        <v>229</v>
      </c>
      <c r="H62" s="273">
        <f>_xlfn.XLOOKUP(A62,Grants!A:A,Grants!AN:AN,0,0)</f>
        <v>151156.88</v>
      </c>
      <c r="I62" s="273"/>
      <c r="J62" s="273">
        <f t="shared" si="0"/>
        <v>151156.88</v>
      </c>
    </row>
    <row r="63" spans="1:10">
      <c r="A63" s="231">
        <v>2478</v>
      </c>
      <c r="B63" s="4">
        <v>132007</v>
      </c>
      <c r="C63" s="4" t="s">
        <v>565</v>
      </c>
      <c r="D63" s="4" t="s">
        <v>566</v>
      </c>
      <c r="E63" s="4" t="s">
        <v>5</v>
      </c>
      <c r="F63" s="232" t="s">
        <v>229</v>
      </c>
      <c r="H63" s="273">
        <f>_xlfn.XLOOKUP(A63,Grants!A:A,Grants!AN:AN,0,0)</f>
        <v>138101.5</v>
      </c>
      <c r="I63" s="273"/>
      <c r="J63" s="273">
        <f t="shared" si="0"/>
        <v>138101.5</v>
      </c>
    </row>
    <row r="64" spans="1:10">
      <c r="A64" s="231">
        <v>4063</v>
      </c>
      <c r="B64" s="4">
        <v>103486</v>
      </c>
      <c r="C64" s="4" t="s">
        <v>687</v>
      </c>
      <c r="D64" s="4" t="s">
        <v>688</v>
      </c>
      <c r="E64" s="4" t="s">
        <v>6</v>
      </c>
      <c r="F64" s="232" t="s">
        <v>229</v>
      </c>
      <c r="H64" s="273">
        <f>_xlfn.XLOOKUP(A64,Grants!A:A,Grants!AN:AN,0,0)</f>
        <v>218825</v>
      </c>
      <c r="I64" s="273"/>
      <c r="J64" s="273">
        <f t="shared" si="0"/>
        <v>218825</v>
      </c>
    </row>
    <row r="65" spans="1:10">
      <c r="A65" s="231">
        <v>3375</v>
      </c>
      <c r="B65" s="4">
        <v>103462</v>
      </c>
      <c r="C65" s="4" t="s">
        <v>783</v>
      </c>
      <c r="D65" s="4" t="s">
        <v>784</v>
      </c>
      <c r="E65" s="4" t="s">
        <v>5</v>
      </c>
      <c r="F65" s="232" t="s">
        <v>229</v>
      </c>
      <c r="H65" s="273">
        <f>_xlfn.XLOOKUP(A65,Grants!A:A,Grants!AN:AN,0,0)</f>
        <v>147718.75</v>
      </c>
      <c r="I65" s="273"/>
      <c r="J65" s="273">
        <f t="shared" si="0"/>
        <v>147718.75</v>
      </c>
    </row>
    <row r="66" spans="1:10">
      <c r="A66" s="231">
        <v>2010</v>
      </c>
      <c r="B66" s="4">
        <v>103159</v>
      </c>
      <c r="C66" s="4" t="s">
        <v>228</v>
      </c>
      <c r="D66" s="4" t="s">
        <v>230</v>
      </c>
      <c r="E66" s="4" t="s">
        <v>5</v>
      </c>
      <c r="F66" s="232" t="s">
        <v>229</v>
      </c>
      <c r="H66" s="273">
        <f>_xlfn.XLOOKUP(A66,Grants!A:A,Grants!AN:AN,0,0)</f>
        <v>181902.25</v>
      </c>
      <c r="I66" s="273"/>
      <c r="J66" s="273">
        <f t="shared" si="0"/>
        <v>181902.25</v>
      </c>
    </row>
    <row r="67" spans="1:10" s="218" customFormat="1" ht="15" thickBot="1">
      <c r="A67" s="277"/>
      <c r="B67" s="278"/>
      <c r="C67" s="278"/>
      <c r="D67" s="279" t="s">
        <v>1096</v>
      </c>
      <c r="E67" s="278"/>
      <c r="F67" s="280"/>
      <c r="H67" s="282">
        <f t="shared" ref="H67:I67" si="1">SUM(H4:H66)</f>
        <v>11744073.400000002</v>
      </c>
      <c r="I67" s="282">
        <f t="shared" si="1"/>
        <v>0</v>
      </c>
      <c r="J67" s="282">
        <f>SUM(J4:J66)</f>
        <v>11744073.400000002</v>
      </c>
    </row>
    <row r="68" spans="1:10" ht="15" thickTop="1"/>
  </sheetData>
  <conditionalFormatting sqref="H3:J3 A3:F4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43CCD-8625-48C2-9372-43EDB49F2B41}">
  <dimension ref="A1:P23"/>
  <sheetViews>
    <sheetView workbookViewId="0">
      <selection activeCell="C25" sqref="C25"/>
    </sheetView>
  </sheetViews>
  <sheetFormatPr defaultRowHeight="14.5"/>
  <cols>
    <col min="3" max="3" width="49.1796875" customWidth="1"/>
    <col min="4" max="16" width="15.7265625" customWidth="1"/>
  </cols>
  <sheetData>
    <row r="1" spans="1:16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</row>
    <row r="2" spans="1:16">
      <c r="A2" s="432" t="s">
        <v>0</v>
      </c>
      <c r="B2" s="432" t="s">
        <v>1</v>
      </c>
      <c r="C2" s="434" t="s">
        <v>2</v>
      </c>
      <c r="D2" s="430">
        <v>45383</v>
      </c>
      <c r="E2" s="430">
        <v>45413</v>
      </c>
      <c r="F2" s="430">
        <v>45444</v>
      </c>
      <c r="G2" s="430">
        <v>45474</v>
      </c>
      <c r="H2" s="430">
        <v>45505</v>
      </c>
      <c r="I2" s="430">
        <v>45536</v>
      </c>
      <c r="J2" s="430">
        <v>45566</v>
      </c>
      <c r="K2" s="430">
        <v>45597</v>
      </c>
      <c r="L2" s="430">
        <v>45627</v>
      </c>
      <c r="M2" s="430">
        <v>45658</v>
      </c>
      <c r="N2" s="430">
        <v>45689</v>
      </c>
      <c r="O2" s="435">
        <v>45717</v>
      </c>
      <c r="P2" s="435" t="s">
        <v>191</v>
      </c>
    </row>
    <row r="3" spans="1:16">
      <c r="A3" s="433"/>
      <c r="B3" s="433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6"/>
      <c r="P3" s="436"/>
    </row>
    <row r="4" spans="1:16">
      <c r="A4" s="2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>
      <c r="A5" s="3" t="s">
        <v>3</v>
      </c>
      <c r="B5" s="4"/>
      <c r="C5" s="47" t="s">
        <v>4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6">
        <f>SUM(D5:O5)</f>
        <v>0</v>
      </c>
    </row>
    <row r="6" spans="1:16">
      <c r="A6" s="5">
        <v>8712252</v>
      </c>
      <c r="B6" s="4"/>
      <c r="C6" s="47" t="s">
        <v>154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6">
        <f t="shared" ref="P6:P21" si="0">SUM(D6:O6)</f>
        <v>0</v>
      </c>
    </row>
    <row r="7" spans="1:16">
      <c r="A7" s="5">
        <v>8712255</v>
      </c>
      <c r="B7" s="4"/>
      <c r="C7" s="47" t="s">
        <v>155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6">
        <f t="shared" si="0"/>
        <v>0</v>
      </c>
    </row>
    <row r="8" spans="1:16">
      <c r="A8" s="4">
        <v>8712256</v>
      </c>
      <c r="B8" s="4"/>
      <c r="C8" s="47" t="s">
        <v>156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6">
        <f t="shared" si="0"/>
        <v>0</v>
      </c>
    </row>
    <row r="9" spans="1:16">
      <c r="A9" s="4">
        <v>8713070</v>
      </c>
      <c r="B9" s="4"/>
      <c r="C9" s="47" t="s">
        <v>157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6">
        <f t="shared" si="0"/>
        <v>0</v>
      </c>
    </row>
    <row r="10" spans="1:16">
      <c r="A10" s="4">
        <v>8713353</v>
      </c>
      <c r="B10" s="4"/>
      <c r="C10" s="47" t="s">
        <v>158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6">
        <f t="shared" si="0"/>
        <v>0</v>
      </c>
    </row>
    <row r="11" spans="1:16">
      <c r="A11" s="4">
        <v>8713367</v>
      </c>
      <c r="B11" s="4"/>
      <c r="C11" s="47" t="s">
        <v>159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6">
        <f t="shared" si="0"/>
        <v>0</v>
      </c>
    </row>
    <row r="12" spans="1:16">
      <c r="A12" s="4">
        <v>8715201</v>
      </c>
      <c r="B12" s="4"/>
      <c r="C12" s="47" t="s">
        <v>160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6">
        <f t="shared" si="0"/>
        <v>0</v>
      </c>
    </row>
    <row r="13" spans="1:16">
      <c r="A13" s="4">
        <v>8715202</v>
      </c>
      <c r="B13" s="4"/>
      <c r="C13" s="47" t="s">
        <v>161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6">
        <f t="shared" si="0"/>
        <v>0</v>
      </c>
    </row>
    <row r="14" spans="1:16">
      <c r="A14" s="4">
        <v>8715207</v>
      </c>
      <c r="B14" s="4"/>
      <c r="C14" s="47" t="s">
        <v>162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6">
        <f t="shared" si="0"/>
        <v>0</v>
      </c>
    </row>
    <row r="15" spans="1:16">
      <c r="A15" s="4">
        <v>8714089</v>
      </c>
      <c r="B15" s="4"/>
      <c r="C15" s="47" t="s">
        <v>163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6">
        <f t="shared" si="0"/>
        <v>0</v>
      </c>
    </row>
    <row r="16" spans="1:16">
      <c r="A16" s="4">
        <v>8714700</v>
      </c>
      <c r="B16" s="4"/>
      <c r="C16" s="47" t="s">
        <v>164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6">
        <f t="shared" si="0"/>
        <v>0</v>
      </c>
    </row>
    <row r="17" spans="1:16">
      <c r="A17" s="4">
        <v>8711021</v>
      </c>
      <c r="B17" s="4"/>
      <c r="C17" s="47" t="s">
        <v>181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6">
        <f t="shared" si="0"/>
        <v>0</v>
      </c>
    </row>
    <row r="18" spans="1:16">
      <c r="A18" s="4">
        <v>8711025</v>
      </c>
      <c r="B18" s="4"/>
      <c r="C18" s="47" t="s">
        <v>182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6">
        <f t="shared" si="0"/>
        <v>0</v>
      </c>
    </row>
    <row r="19" spans="1:16">
      <c r="A19" s="4">
        <v>8711022</v>
      </c>
      <c r="B19" s="4"/>
      <c r="C19" s="47" t="s">
        <v>183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6">
        <f t="shared" si="0"/>
        <v>0</v>
      </c>
    </row>
    <row r="20" spans="1:16">
      <c r="A20" s="4">
        <v>8711023</v>
      </c>
      <c r="B20" s="4"/>
      <c r="C20" s="47" t="s">
        <v>184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6">
        <f t="shared" si="0"/>
        <v>0</v>
      </c>
    </row>
    <row r="21" spans="1:16">
      <c r="A21" s="4">
        <v>8711020</v>
      </c>
      <c r="B21" s="4"/>
      <c r="C21" s="47" t="s">
        <v>185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6">
        <f t="shared" si="0"/>
        <v>0</v>
      </c>
    </row>
    <row r="22" spans="1:16" ht="15" thickBot="1">
      <c r="C22" s="74" t="s">
        <v>48</v>
      </c>
      <c r="D22" s="75">
        <f>SUM(D5:D21)</f>
        <v>0</v>
      </c>
      <c r="E22" s="75">
        <f t="shared" ref="E22:O22" si="1">SUM(E5:E21)</f>
        <v>0</v>
      </c>
      <c r="F22" s="75">
        <f t="shared" si="1"/>
        <v>0</v>
      </c>
      <c r="G22" s="75">
        <f t="shared" si="1"/>
        <v>0</v>
      </c>
      <c r="H22" s="75">
        <f t="shared" si="1"/>
        <v>0</v>
      </c>
      <c r="I22" s="75">
        <f t="shared" si="1"/>
        <v>0</v>
      </c>
      <c r="J22" s="75">
        <f t="shared" si="1"/>
        <v>0</v>
      </c>
      <c r="K22" s="75">
        <f t="shared" si="1"/>
        <v>0</v>
      </c>
      <c r="L22" s="75">
        <f t="shared" si="1"/>
        <v>0</v>
      </c>
      <c r="M22" s="75">
        <f t="shared" si="1"/>
        <v>0</v>
      </c>
      <c r="N22" s="75">
        <f t="shared" si="1"/>
        <v>0</v>
      </c>
      <c r="O22" s="75">
        <f t="shared" si="1"/>
        <v>0</v>
      </c>
      <c r="P22" s="75">
        <f>SUM(P5:P21)</f>
        <v>0</v>
      </c>
    </row>
    <row r="23" spans="1:16" ht="15" thickTop="1"/>
  </sheetData>
  <mergeCells count="16">
    <mergeCell ref="M2:M3"/>
    <mergeCell ref="N2:N3"/>
    <mergeCell ref="O2:O3"/>
    <mergeCell ref="P2:P3"/>
    <mergeCell ref="G2:G3"/>
    <mergeCell ref="H2:H3"/>
    <mergeCell ref="I2:I3"/>
    <mergeCell ref="J2:J3"/>
    <mergeCell ref="K2:K3"/>
    <mergeCell ref="L2:L3"/>
    <mergeCell ref="F2:F3"/>
    <mergeCell ref="A2:A3"/>
    <mergeCell ref="B2:B3"/>
    <mergeCell ref="C2:C3"/>
    <mergeCell ref="D2:D3"/>
    <mergeCell ref="E2:E3"/>
  </mergeCells>
  <conditionalFormatting sqref="A2:P21">
    <cfRule type="cellIs" dxfId="4" priority="1" operator="lessThan">
      <formula>0</formula>
    </cfRule>
  </conditionalFormatting>
  <conditionalFormatting sqref="C22">
    <cfRule type="cellIs" dxfId="3" priority="2" operator="lessThan">
      <formula>0</formula>
    </cfRule>
  </conditionalFormatting>
  <pageMargins left="0.7" right="0.7" top="0.75" bottom="0.75" header="0.3" footer="0.3"/>
  <headerFooter>
    <oddFooter>&amp;C_x000D_&amp;1#&amp;"Calibri"&amp;10&amp;K000000 OFFICIAL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ECEE9-E96D-4058-A56B-9866A373F0C7}">
  <dimension ref="A1:P23"/>
  <sheetViews>
    <sheetView workbookViewId="0">
      <selection activeCell="H22" sqref="H22"/>
    </sheetView>
  </sheetViews>
  <sheetFormatPr defaultRowHeight="14.5"/>
  <cols>
    <col min="3" max="3" width="49.1796875" customWidth="1"/>
    <col min="4" max="16" width="15.7265625" customWidth="1"/>
  </cols>
  <sheetData>
    <row r="1" spans="1:16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</row>
    <row r="2" spans="1:16">
      <c r="A2" s="432" t="s">
        <v>0</v>
      </c>
      <c r="B2" s="432" t="s">
        <v>1</v>
      </c>
      <c r="C2" s="434" t="s">
        <v>2</v>
      </c>
      <c r="D2" s="430">
        <v>45383</v>
      </c>
      <c r="E2" s="430">
        <v>45413</v>
      </c>
      <c r="F2" s="430">
        <v>45444</v>
      </c>
      <c r="G2" s="430">
        <v>45474</v>
      </c>
      <c r="H2" s="430">
        <v>45505</v>
      </c>
      <c r="I2" s="430">
        <v>45536</v>
      </c>
      <c r="J2" s="430">
        <v>45566</v>
      </c>
      <c r="K2" s="430">
        <v>45597</v>
      </c>
      <c r="L2" s="430">
        <v>45627</v>
      </c>
      <c r="M2" s="430">
        <v>45658</v>
      </c>
      <c r="N2" s="430">
        <v>45689</v>
      </c>
      <c r="O2" s="435">
        <v>45717</v>
      </c>
      <c r="P2" s="435" t="s">
        <v>191</v>
      </c>
    </row>
    <row r="3" spans="1:16">
      <c r="A3" s="433"/>
      <c r="B3" s="433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6"/>
      <c r="P3" s="436"/>
    </row>
    <row r="4" spans="1:16">
      <c r="A4" s="2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>
      <c r="A5" s="3" t="s">
        <v>3</v>
      </c>
      <c r="B5" s="4"/>
      <c r="C5" s="47" t="s">
        <v>4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6">
        <f>SUM(D5:O5)</f>
        <v>0</v>
      </c>
    </row>
    <row r="6" spans="1:16">
      <c r="A6" s="5">
        <v>8712252</v>
      </c>
      <c r="B6" s="4"/>
      <c r="C6" s="47" t="s">
        <v>154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6">
        <f t="shared" ref="P6:P21" si="0">SUM(D6:O6)</f>
        <v>0</v>
      </c>
    </row>
    <row r="7" spans="1:16">
      <c r="A7" s="5">
        <v>8712255</v>
      </c>
      <c r="B7" s="4"/>
      <c r="C7" s="47" t="s">
        <v>155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6">
        <f t="shared" si="0"/>
        <v>0</v>
      </c>
    </row>
    <row r="8" spans="1:16">
      <c r="A8" s="4">
        <v>8712256</v>
      </c>
      <c r="B8" s="4"/>
      <c r="C8" s="47" t="s">
        <v>156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6">
        <f t="shared" si="0"/>
        <v>0</v>
      </c>
    </row>
    <row r="9" spans="1:16">
      <c r="A9" s="4">
        <v>8713070</v>
      </c>
      <c r="B9" s="4"/>
      <c r="C9" s="47" t="s">
        <v>157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6">
        <f t="shared" si="0"/>
        <v>0</v>
      </c>
    </row>
    <row r="10" spans="1:16">
      <c r="A10" s="4">
        <v>8713353</v>
      </c>
      <c r="B10" s="4"/>
      <c r="C10" s="47" t="s">
        <v>158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6">
        <f t="shared" si="0"/>
        <v>0</v>
      </c>
    </row>
    <row r="11" spans="1:16">
      <c r="A11" s="4">
        <v>8713367</v>
      </c>
      <c r="B11" s="4"/>
      <c r="C11" s="47" t="s">
        <v>159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6">
        <f t="shared" si="0"/>
        <v>0</v>
      </c>
    </row>
    <row r="12" spans="1:16">
      <c r="A12" s="4">
        <v>8715201</v>
      </c>
      <c r="B12" s="4"/>
      <c r="C12" s="47" t="s">
        <v>160</v>
      </c>
      <c r="D12" s="73">
        <v>32090.5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6">
        <f t="shared" si="0"/>
        <v>32090.5</v>
      </c>
    </row>
    <row r="13" spans="1:16">
      <c r="A13" s="4">
        <v>8715202</v>
      </c>
      <c r="B13" s="4"/>
      <c r="C13" s="47" t="s">
        <v>161</v>
      </c>
      <c r="D13" s="73">
        <v>50782.32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6">
        <f t="shared" si="0"/>
        <v>50782.32</v>
      </c>
    </row>
    <row r="14" spans="1:16">
      <c r="A14" s="4">
        <v>8715207</v>
      </c>
      <c r="B14" s="4"/>
      <c r="C14" s="47" t="s">
        <v>162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6">
        <f t="shared" si="0"/>
        <v>0</v>
      </c>
    </row>
    <row r="15" spans="1:16">
      <c r="A15" s="4">
        <v>8714089</v>
      </c>
      <c r="B15" s="4"/>
      <c r="C15" s="47" t="s">
        <v>163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6">
        <f t="shared" si="0"/>
        <v>0</v>
      </c>
    </row>
    <row r="16" spans="1:16">
      <c r="A16" s="4">
        <v>8714700</v>
      </c>
      <c r="B16" s="4"/>
      <c r="C16" s="47" t="s">
        <v>164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6">
        <f t="shared" si="0"/>
        <v>0</v>
      </c>
    </row>
    <row r="17" spans="1:16">
      <c r="A17" s="4">
        <v>8711021</v>
      </c>
      <c r="B17" s="4"/>
      <c r="C17" s="47" t="s">
        <v>181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6">
        <f t="shared" si="0"/>
        <v>0</v>
      </c>
    </row>
    <row r="18" spans="1:16">
      <c r="A18" s="4">
        <v>8711025</v>
      </c>
      <c r="B18" s="4"/>
      <c r="C18" s="47" t="s">
        <v>182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6">
        <f t="shared" si="0"/>
        <v>0</v>
      </c>
    </row>
    <row r="19" spans="1:16">
      <c r="A19" s="4">
        <v>8711022</v>
      </c>
      <c r="B19" s="4"/>
      <c r="C19" s="47" t="s">
        <v>183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6">
        <f t="shared" si="0"/>
        <v>0</v>
      </c>
    </row>
    <row r="20" spans="1:16">
      <c r="A20" s="4">
        <v>8711023</v>
      </c>
      <c r="B20" s="4"/>
      <c r="C20" s="47" t="s">
        <v>184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6">
        <f t="shared" si="0"/>
        <v>0</v>
      </c>
    </row>
    <row r="21" spans="1:16">
      <c r="A21" s="4">
        <v>8711020</v>
      </c>
      <c r="B21" s="4"/>
      <c r="C21" s="47" t="s">
        <v>185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6">
        <f t="shared" si="0"/>
        <v>0</v>
      </c>
    </row>
    <row r="22" spans="1:16" ht="15" thickBot="1">
      <c r="C22" s="74" t="s">
        <v>48</v>
      </c>
      <c r="D22" s="75">
        <f>SUM(D5:D21)</f>
        <v>82872.820000000007</v>
      </c>
      <c r="E22" s="75">
        <f t="shared" ref="E22:O22" si="1">SUM(E5:E21)</f>
        <v>0</v>
      </c>
      <c r="F22" s="75">
        <f t="shared" si="1"/>
        <v>0</v>
      </c>
      <c r="G22" s="75">
        <f t="shared" si="1"/>
        <v>0</v>
      </c>
      <c r="H22" s="75">
        <f t="shared" si="1"/>
        <v>0</v>
      </c>
      <c r="I22" s="75">
        <f t="shared" si="1"/>
        <v>0</v>
      </c>
      <c r="J22" s="75">
        <f t="shared" si="1"/>
        <v>0</v>
      </c>
      <c r="K22" s="75">
        <f t="shared" si="1"/>
        <v>0</v>
      </c>
      <c r="L22" s="75">
        <f t="shared" si="1"/>
        <v>0</v>
      </c>
      <c r="M22" s="75">
        <f t="shared" si="1"/>
        <v>0</v>
      </c>
      <c r="N22" s="75">
        <f t="shared" si="1"/>
        <v>0</v>
      </c>
      <c r="O22" s="75">
        <f t="shared" si="1"/>
        <v>0</v>
      </c>
      <c r="P22" s="75">
        <f>SUM(P5:P21)</f>
        <v>82872.820000000007</v>
      </c>
    </row>
    <row r="23" spans="1:16" ht="15" thickTop="1"/>
  </sheetData>
  <mergeCells count="16">
    <mergeCell ref="M2:M3"/>
    <mergeCell ref="N2:N3"/>
    <mergeCell ref="O2:O3"/>
    <mergeCell ref="P2:P3"/>
    <mergeCell ref="G2:G3"/>
    <mergeCell ref="H2:H3"/>
    <mergeCell ref="I2:I3"/>
    <mergeCell ref="J2:J3"/>
    <mergeCell ref="K2:K3"/>
    <mergeCell ref="L2:L3"/>
    <mergeCell ref="F2:F3"/>
    <mergeCell ref="A2:A3"/>
    <mergeCell ref="B2:B3"/>
    <mergeCell ref="C2:C3"/>
    <mergeCell ref="D2:D3"/>
    <mergeCell ref="E2:E3"/>
  </mergeCells>
  <conditionalFormatting sqref="A2:P21">
    <cfRule type="cellIs" dxfId="2" priority="1" operator="lessThan">
      <formula>0</formula>
    </cfRule>
  </conditionalFormatting>
  <conditionalFormatting sqref="C22">
    <cfRule type="cellIs" dxfId="1" priority="7" operator="lessThan">
      <formula>0</formula>
    </cfRule>
  </conditionalFormatting>
  <pageMargins left="0.7" right="0.7" top="0.75" bottom="0.75" header="0.3" footer="0.3"/>
  <headerFooter>
    <oddFooter>&amp;C_x000D_&amp;1#&amp;"Calibri"&amp;10&amp;K000000 OFFICIAL</oddFooter>
  </headerFooter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0CFC7-2873-4814-80E4-8A7B7B468BAA}">
  <dimension ref="A1:P211"/>
  <sheetViews>
    <sheetView workbookViewId="0">
      <selection activeCell="C3" sqref="C3"/>
    </sheetView>
  </sheetViews>
  <sheetFormatPr defaultRowHeight="14.5"/>
  <cols>
    <col min="1" max="1" width="17.81640625" bestFit="1" customWidth="1"/>
    <col min="4" max="4" width="10.7265625" bestFit="1" customWidth="1"/>
    <col min="5" max="5" width="24.453125" bestFit="1" customWidth="1"/>
    <col min="6" max="6" width="67" bestFit="1" customWidth="1"/>
    <col min="11" max="11" width="11.453125" customWidth="1"/>
    <col min="12" max="12" width="48" customWidth="1"/>
    <col min="14" max="14" width="41.1796875" bestFit="1" customWidth="1"/>
    <col min="16" max="16" width="14.54296875" customWidth="1"/>
  </cols>
  <sheetData>
    <row r="1" spans="1:16">
      <c r="K1" s="1"/>
      <c r="L1" s="1"/>
      <c r="M1" s="1"/>
      <c r="N1" s="1"/>
      <c r="O1" s="1"/>
      <c r="P1" s="1"/>
    </row>
    <row r="2" spans="1:16">
      <c r="A2" s="193" t="s">
        <v>856</v>
      </c>
      <c r="B2" s="193" t="s">
        <v>224</v>
      </c>
      <c r="C2" s="194" t="s">
        <v>857</v>
      </c>
      <c r="D2" s="194" t="s">
        <v>225</v>
      </c>
      <c r="E2" s="193" t="s">
        <v>226</v>
      </c>
      <c r="F2" s="195" t="s">
        <v>857</v>
      </c>
    </row>
    <row r="3" spans="1:16">
      <c r="A3" s="6">
        <v>1000</v>
      </c>
      <c r="B3" s="6" t="s">
        <v>764</v>
      </c>
      <c r="C3" s="6" t="s">
        <v>765</v>
      </c>
      <c r="D3" s="6">
        <v>137796</v>
      </c>
      <c r="E3" s="6" t="s">
        <v>411</v>
      </c>
      <c r="F3" s="6" t="s">
        <v>766</v>
      </c>
    </row>
    <row r="4" spans="1:16">
      <c r="A4" s="6">
        <v>1001</v>
      </c>
      <c r="B4" s="6" t="s">
        <v>426</v>
      </c>
      <c r="C4" s="6" t="s">
        <v>427</v>
      </c>
      <c r="D4" s="6">
        <v>103120</v>
      </c>
      <c r="E4" s="6" t="s">
        <v>415</v>
      </c>
      <c r="F4" s="6" t="s">
        <v>428</v>
      </c>
      <c r="K4" s="9"/>
    </row>
    <row r="5" spans="1:16">
      <c r="A5" s="6">
        <v>1002</v>
      </c>
      <c r="B5" s="6" t="s">
        <v>612</v>
      </c>
      <c r="C5" s="6" t="s">
        <v>613</v>
      </c>
      <c r="D5" s="6">
        <v>103121</v>
      </c>
      <c r="E5" s="6" t="s">
        <v>411</v>
      </c>
      <c r="F5" s="6" t="s">
        <v>614</v>
      </c>
    </row>
    <row r="6" spans="1:16">
      <c r="A6" s="6">
        <v>1006</v>
      </c>
      <c r="B6" s="6" t="s">
        <v>636</v>
      </c>
      <c r="C6" s="6" t="s">
        <v>637</v>
      </c>
      <c r="D6" s="6">
        <v>103122</v>
      </c>
      <c r="E6" s="6" t="s">
        <v>411</v>
      </c>
      <c r="F6" s="6" t="s">
        <v>638</v>
      </c>
    </row>
    <row r="7" spans="1:16">
      <c r="A7" s="6">
        <v>1008</v>
      </c>
      <c r="B7" s="6" t="s">
        <v>746</v>
      </c>
      <c r="C7" s="6" t="s">
        <v>747</v>
      </c>
      <c r="D7" s="6">
        <v>103123</v>
      </c>
      <c r="E7" s="6" t="s">
        <v>411</v>
      </c>
      <c r="F7" s="6" t="s">
        <v>748</v>
      </c>
    </row>
    <row r="8" spans="1:16">
      <c r="A8" s="6">
        <v>1009</v>
      </c>
      <c r="B8" s="6" t="s">
        <v>817</v>
      </c>
      <c r="C8" s="6" t="s">
        <v>818</v>
      </c>
      <c r="D8" s="6">
        <v>103124</v>
      </c>
      <c r="E8" s="6" t="s">
        <v>411</v>
      </c>
      <c r="F8" s="6" t="s">
        <v>819</v>
      </c>
    </row>
    <row r="9" spans="1:16">
      <c r="A9" s="6">
        <v>1010</v>
      </c>
      <c r="B9" s="6" t="s">
        <v>666</v>
      </c>
      <c r="C9" s="6" t="s">
        <v>667</v>
      </c>
      <c r="D9" s="6">
        <v>103125</v>
      </c>
      <c r="E9" s="6" t="s">
        <v>411</v>
      </c>
      <c r="F9" s="6" t="s">
        <v>668</v>
      </c>
    </row>
    <row r="10" spans="1:16">
      <c r="A10" s="6">
        <v>1012</v>
      </c>
      <c r="B10" s="6" t="s">
        <v>713</v>
      </c>
      <c r="C10" s="6" t="s">
        <v>714</v>
      </c>
      <c r="D10" s="6">
        <v>103126</v>
      </c>
      <c r="E10" s="6" t="s">
        <v>411</v>
      </c>
      <c r="F10" s="6" t="s">
        <v>715</v>
      </c>
    </row>
    <row r="11" spans="1:16">
      <c r="A11" s="6">
        <v>1014</v>
      </c>
      <c r="B11" s="6" t="s">
        <v>841</v>
      </c>
      <c r="C11" s="6" t="s">
        <v>842</v>
      </c>
      <c r="D11" s="6">
        <v>103127</v>
      </c>
      <c r="E11" s="6" t="s">
        <v>411</v>
      </c>
      <c r="F11" s="6" t="s">
        <v>843</v>
      </c>
    </row>
    <row r="12" spans="1:16">
      <c r="A12" s="6">
        <v>1015</v>
      </c>
      <c r="B12" s="6" t="s">
        <v>642</v>
      </c>
      <c r="C12" s="6" t="s">
        <v>643</v>
      </c>
      <c r="D12" s="6">
        <v>103128</v>
      </c>
      <c r="E12" s="6" t="s">
        <v>411</v>
      </c>
      <c r="F12" s="6" t="s">
        <v>644</v>
      </c>
    </row>
    <row r="13" spans="1:16">
      <c r="A13" s="6">
        <v>1016</v>
      </c>
      <c r="B13" s="6" t="s">
        <v>692</v>
      </c>
      <c r="C13" s="6" t="s">
        <v>693</v>
      </c>
      <c r="D13" s="6">
        <v>103129</v>
      </c>
      <c r="E13" s="6" t="s">
        <v>411</v>
      </c>
      <c r="F13" s="6" t="s">
        <v>694</v>
      </c>
    </row>
    <row r="14" spans="1:16">
      <c r="A14" s="6">
        <v>1017</v>
      </c>
      <c r="B14" s="6" t="s">
        <v>231</v>
      </c>
      <c r="C14" s="6" t="s">
        <v>232</v>
      </c>
      <c r="D14" s="192">
        <v>103130</v>
      </c>
      <c r="E14" s="6" t="s">
        <v>229</v>
      </c>
      <c r="F14" s="6" t="s">
        <v>233</v>
      </c>
    </row>
    <row r="15" spans="1:16">
      <c r="A15" s="6">
        <v>1018</v>
      </c>
      <c r="B15" s="6" t="s">
        <v>761</v>
      </c>
      <c r="C15" s="6" t="s">
        <v>762</v>
      </c>
      <c r="D15" s="6">
        <v>103131</v>
      </c>
      <c r="E15" s="6" t="s">
        <v>411</v>
      </c>
      <c r="F15" s="6" t="s">
        <v>763</v>
      </c>
    </row>
    <row r="16" spans="1:16">
      <c r="A16" s="6">
        <v>1019</v>
      </c>
      <c r="B16" s="6" t="s">
        <v>552</v>
      </c>
      <c r="C16" s="6" t="s">
        <v>553</v>
      </c>
      <c r="D16" s="6">
        <v>103132</v>
      </c>
      <c r="E16" s="6" t="s">
        <v>415</v>
      </c>
      <c r="F16" s="6" t="s">
        <v>554</v>
      </c>
    </row>
    <row r="17" spans="1:12">
      <c r="A17" s="6">
        <v>1020</v>
      </c>
      <c r="B17" s="6" t="s">
        <v>838</v>
      </c>
      <c r="C17" s="6" t="s">
        <v>839</v>
      </c>
      <c r="D17" s="6">
        <v>103133</v>
      </c>
      <c r="E17" s="6" t="s">
        <v>411</v>
      </c>
      <c r="F17" s="6" t="s">
        <v>840</v>
      </c>
    </row>
    <row r="18" spans="1:12">
      <c r="A18" s="6">
        <v>1021</v>
      </c>
      <c r="B18" s="6" t="s">
        <v>669</v>
      </c>
      <c r="C18" s="6" t="s">
        <v>670</v>
      </c>
      <c r="D18" s="6">
        <v>103134</v>
      </c>
      <c r="E18" s="6" t="s">
        <v>411</v>
      </c>
      <c r="F18" s="6" t="s">
        <v>671</v>
      </c>
    </row>
    <row r="19" spans="1:12">
      <c r="A19" s="6">
        <v>1022</v>
      </c>
      <c r="B19" s="6" t="s">
        <v>645</v>
      </c>
      <c r="C19" s="6" t="s">
        <v>646</v>
      </c>
      <c r="D19" s="6">
        <v>103135</v>
      </c>
      <c r="E19" s="6" t="s">
        <v>411</v>
      </c>
      <c r="F19" s="6" t="s">
        <v>647</v>
      </c>
    </row>
    <row r="20" spans="1:12">
      <c r="A20" s="6">
        <v>1023</v>
      </c>
      <c r="B20" s="6" t="s">
        <v>680</v>
      </c>
      <c r="C20" s="6" t="s">
        <v>681</v>
      </c>
      <c r="D20" s="6">
        <v>103136</v>
      </c>
      <c r="E20" s="6" t="s">
        <v>411</v>
      </c>
      <c r="F20" s="6" t="s">
        <v>682</v>
      </c>
    </row>
    <row r="21" spans="1:12">
      <c r="A21" s="6">
        <v>1024</v>
      </c>
      <c r="B21" s="6" t="s">
        <v>704</v>
      </c>
      <c r="C21" s="6" t="s">
        <v>705</v>
      </c>
      <c r="D21" s="6">
        <v>103137</v>
      </c>
      <c r="E21" s="6" t="s">
        <v>411</v>
      </c>
      <c r="F21" s="6" t="s">
        <v>706</v>
      </c>
    </row>
    <row r="22" spans="1:12">
      <c r="A22" s="6">
        <v>1025</v>
      </c>
      <c r="B22" s="6" t="s">
        <v>606</v>
      </c>
      <c r="C22" s="6" t="s">
        <v>607</v>
      </c>
      <c r="D22" s="6">
        <v>103138</v>
      </c>
      <c r="E22" s="6" t="s">
        <v>411</v>
      </c>
      <c r="F22" s="6" t="s">
        <v>608</v>
      </c>
    </row>
    <row r="23" spans="1:12">
      <c r="A23" s="6">
        <v>1026</v>
      </c>
      <c r="B23" s="6" t="s">
        <v>630</v>
      </c>
      <c r="C23" s="6" t="s">
        <v>631</v>
      </c>
      <c r="D23" s="6">
        <v>103139</v>
      </c>
      <c r="E23" s="6" t="s">
        <v>411</v>
      </c>
      <c r="F23" s="6" t="s">
        <v>632</v>
      </c>
    </row>
    <row r="24" spans="1:12">
      <c r="A24" s="6">
        <v>1027</v>
      </c>
      <c r="B24" s="6" t="s">
        <v>409</v>
      </c>
      <c r="C24" s="6" t="s">
        <v>410</v>
      </c>
      <c r="D24" s="6">
        <v>103140</v>
      </c>
      <c r="E24" s="6" t="s">
        <v>411</v>
      </c>
      <c r="F24" s="6" t="s">
        <v>412</v>
      </c>
      <c r="K24" s="9"/>
    </row>
    <row r="25" spans="1:12">
      <c r="A25" s="6">
        <v>1028</v>
      </c>
      <c r="B25" s="6" t="s">
        <v>731</v>
      </c>
      <c r="C25" s="6" t="s">
        <v>732</v>
      </c>
      <c r="D25" s="6">
        <v>103141</v>
      </c>
      <c r="E25" s="6" t="s">
        <v>411</v>
      </c>
      <c r="F25" s="6" t="s">
        <v>733</v>
      </c>
    </row>
    <row r="26" spans="1:12">
      <c r="A26" s="6">
        <v>1038</v>
      </c>
      <c r="B26" s="6" t="s">
        <v>349</v>
      </c>
      <c r="C26" s="6" t="s">
        <v>350</v>
      </c>
      <c r="D26" s="6">
        <v>103142</v>
      </c>
      <c r="E26" s="6" t="s">
        <v>229</v>
      </c>
      <c r="F26" s="6" t="s">
        <v>351</v>
      </c>
      <c r="K26" s="1"/>
      <c r="L26" s="1"/>
    </row>
    <row r="27" spans="1:12">
      <c r="A27" s="6">
        <v>1048</v>
      </c>
      <c r="B27" s="6" t="s">
        <v>615</v>
      </c>
      <c r="C27" s="6" t="s">
        <v>616</v>
      </c>
      <c r="D27" s="6">
        <v>103144</v>
      </c>
      <c r="E27" s="6" t="s">
        <v>411</v>
      </c>
      <c r="F27" s="6" t="s">
        <v>617</v>
      </c>
    </row>
    <row r="28" spans="1:12">
      <c r="A28" s="6">
        <v>1049</v>
      </c>
      <c r="B28" s="6" t="s">
        <v>734</v>
      </c>
      <c r="C28" s="6" t="s">
        <v>735</v>
      </c>
      <c r="D28" s="6">
        <v>103145</v>
      </c>
      <c r="E28" s="6" t="s">
        <v>411</v>
      </c>
      <c r="F28" s="6" t="s">
        <v>736</v>
      </c>
    </row>
    <row r="29" spans="1:12">
      <c r="A29" s="6">
        <v>1100</v>
      </c>
      <c r="B29" s="6" t="s">
        <v>438</v>
      </c>
      <c r="C29" s="6" t="s">
        <v>439</v>
      </c>
      <c r="D29" s="6">
        <v>103146</v>
      </c>
      <c r="E29" s="6" t="s">
        <v>415</v>
      </c>
      <c r="F29" s="6" t="s">
        <v>440</v>
      </c>
    </row>
    <row r="30" spans="1:12">
      <c r="A30" s="6">
        <v>1802</v>
      </c>
      <c r="B30" s="6" t="s">
        <v>450</v>
      </c>
      <c r="C30" s="6" t="s">
        <v>451</v>
      </c>
      <c r="D30" s="6">
        <v>103150</v>
      </c>
      <c r="E30" s="6" t="s">
        <v>411</v>
      </c>
      <c r="F30" s="6" t="s">
        <v>452</v>
      </c>
    </row>
    <row r="31" spans="1:12">
      <c r="A31" s="6">
        <v>2004</v>
      </c>
      <c r="B31" s="6" t="s">
        <v>710</v>
      </c>
      <c r="C31" s="6" t="s">
        <v>711</v>
      </c>
      <c r="D31" s="6">
        <v>134094</v>
      </c>
      <c r="E31" s="6" t="s">
        <v>411</v>
      </c>
      <c r="F31" s="6" t="s">
        <v>712</v>
      </c>
    </row>
    <row r="32" spans="1:12">
      <c r="A32" s="6">
        <v>2005</v>
      </c>
      <c r="B32" s="6" t="s">
        <v>689</v>
      </c>
      <c r="C32" s="6" t="s">
        <v>690</v>
      </c>
      <c r="D32" s="6">
        <v>134098</v>
      </c>
      <c r="E32" s="6" t="s">
        <v>411</v>
      </c>
      <c r="F32" s="6" t="s">
        <v>691</v>
      </c>
    </row>
    <row r="33" spans="1:11">
      <c r="A33" s="6">
        <v>2008</v>
      </c>
      <c r="B33" s="6" t="s">
        <v>501</v>
      </c>
      <c r="C33" s="6" t="s">
        <v>502</v>
      </c>
      <c r="D33" s="6">
        <v>103157</v>
      </c>
      <c r="E33" s="6" t="s">
        <v>415</v>
      </c>
      <c r="F33" s="6" t="s">
        <v>503</v>
      </c>
    </row>
    <row r="34" spans="1:11">
      <c r="A34" s="191">
        <v>2010</v>
      </c>
      <c r="B34" s="191" t="s">
        <v>227</v>
      </c>
      <c r="C34" s="6" t="s">
        <v>228</v>
      </c>
      <c r="D34" s="192">
        <v>103159</v>
      </c>
      <c r="E34" s="191" t="s">
        <v>229</v>
      </c>
      <c r="F34" s="6" t="s">
        <v>230</v>
      </c>
    </row>
    <row r="35" spans="1:11">
      <c r="A35" s="6">
        <v>2011</v>
      </c>
      <c r="B35" s="6" t="s">
        <v>394</v>
      </c>
      <c r="C35" s="6" t="s">
        <v>395</v>
      </c>
      <c r="D35" s="6">
        <v>134099</v>
      </c>
      <c r="E35" s="6" t="s">
        <v>229</v>
      </c>
      <c r="F35" s="6" t="s">
        <v>396</v>
      </c>
      <c r="K35" s="9"/>
    </row>
    <row r="36" spans="1:11">
      <c r="A36" s="6">
        <v>2014</v>
      </c>
      <c r="B36" s="6" t="s">
        <v>585</v>
      </c>
      <c r="C36" s="6" t="s">
        <v>586</v>
      </c>
      <c r="D36" s="6">
        <v>103162</v>
      </c>
      <c r="E36" s="6" t="s">
        <v>411</v>
      </c>
      <c r="F36" s="6" t="s">
        <v>587</v>
      </c>
    </row>
    <row r="37" spans="1:11">
      <c r="A37" s="6">
        <v>2015</v>
      </c>
      <c r="B37" s="6" t="s">
        <v>310</v>
      </c>
      <c r="C37" s="6" t="s">
        <v>311</v>
      </c>
      <c r="D37" s="6">
        <v>134102</v>
      </c>
      <c r="E37" s="6" t="s">
        <v>229</v>
      </c>
      <c r="F37" s="6" t="s">
        <v>312</v>
      </c>
    </row>
    <row r="38" spans="1:11">
      <c r="A38" s="6">
        <v>2016</v>
      </c>
      <c r="B38" s="6" t="s">
        <v>594</v>
      </c>
      <c r="C38" s="6" t="s">
        <v>595</v>
      </c>
      <c r="D38" s="6">
        <v>103163</v>
      </c>
      <c r="E38" s="6" t="s">
        <v>411</v>
      </c>
      <c r="F38" s="6" t="s">
        <v>596</v>
      </c>
    </row>
    <row r="39" spans="1:11">
      <c r="A39" s="6">
        <v>2017</v>
      </c>
      <c r="B39" s="6" t="s">
        <v>591</v>
      </c>
      <c r="C39" s="6" t="s">
        <v>592</v>
      </c>
      <c r="D39" s="6">
        <v>103164</v>
      </c>
      <c r="E39" s="6" t="s">
        <v>411</v>
      </c>
      <c r="F39" s="6" t="s">
        <v>593</v>
      </c>
    </row>
    <row r="40" spans="1:11">
      <c r="A40" s="6">
        <v>2019</v>
      </c>
      <c r="B40" s="6" t="s">
        <v>844</v>
      </c>
      <c r="C40" s="6" t="s">
        <v>845</v>
      </c>
      <c r="D40" s="6">
        <v>134279</v>
      </c>
      <c r="E40" s="6" t="s">
        <v>411</v>
      </c>
      <c r="F40" s="6" t="s">
        <v>846</v>
      </c>
    </row>
    <row r="41" spans="1:11">
      <c r="A41" s="6">
        <v>2030</v>
      </c>
      <c r="B41" s="6" t="s">
        <v>252</v>
      </c>
      <c r="C41" s="6" t="s">
        <v>253</v>
      </c>
      <c r="D41" s="6">
        <v>103172</v>
      </c>
      <c r="E41" s="6" t="s">
        <v>229</v>
      </c>
      <c r="F41" s="6" t="s">
        <v>254</v>
      </c>
    </row>
    <row r="42" spans="1:11">
      <c r="A42" s="6">
        <v>2040</v>
      </c>
      <c r="B42" s="6" t="s">
        <v>435</v>
      </c>
      <c r="C42" s="6" t="s">
        <v>436</v>
      </c>
      <c r="D42" s="6">
        <v>103178</v>
      </c>
      <c r="E42" s="6" t="s">
        <v>415</v>
      </c>
      <c r="F42" s="6" t="s">
        <v>437</v>
      </c>
      <c r="K42" s="9"/>
    </row>
    <row r="43" spans="1:11">
      <c r="A43" s="6">
        <v>2053</v>
      </c>
      <c r="B43" s="6" t="s">
        <v>285</v>
      </c>
      <c r="C43" s="6" t="s">
        <v>286</v>
      </c>
      <c r="D43" s="6">
        <v>103188</v>
      </c>
      <c r="E43" s="6" t="s">
        <v>229</v>
      </c>
      <c r="F43" s="6" t="s">
        <v>287</v>
      </c>
    </row>
    <row r="44" spans="1:11">
      <c r="A44" s="6">
        <v>2054</v>
      </c>
      <c r="B44" s="6" t="s">
        <v>282</v>
      </c>
      <c r="C44" s="6" t="s">
        <v>283</v>
      </c>
      <c r="D44" s="6">
        <v>103189</v>
      </c>
      <c r="E44" s="6" t="s">
        <v>229</v>
      </c>
      <c r="F44" s="6" t="s">
        <v>284</v>
      </c>
    </row>
    <row r="45" spans="1:11">
      <c r="A45" s="6">
        <v>2055</v>
      </c>
      <c r="B45" s="6" t="s">
        <v>288</v>
      </c>
      <c r="C45" s="6" t="s">
        <v>289</v>
      </c>
      <c r="D45" s="6">
        <v>103190</v>
      </c>
      <c r="E45" s="6" t="s">
        <v>229</v>
      </c>
      <c r="F45" s="6" t="s">
        <v>290</v>
      </c>
    </row>
    <row r="46" spans="1:11">
      <c r="A46" s="6">
        <v>2062</v>
      </c>
      <c r="B46" s="6" t="s">
        <v>582</v>
      </c>
      <c r="C46" s="6" t="s">
        <v>583</v>
      </c>
      <c r="D46" s="6">
        <v>103192</v>
      </c>
      <c r="E46" s="6" t="s">
        <v>411</v>
      </c>
      <c r="F46" s="6" t="s">
        <v>584</v>
      </c>
    </row>
    <row r="47" spans="1:11">
      <c r="A47" s="6">
        <v>2063</v>
      </c>
      <c r="B47" s="6" t="s">
        <v>498</v>
      </c>
      <c r="C47" s="6" t="s">
        <v>499</v>
      </c>
      <c r="D47" s="6">
        <v>103193</v>
      </c>
      <c r="E47" s="6" t="s">
        <v>415</v>
      </c>
      <c r="F47" s="6" t="s">
        <v>500</v>
      </c>
    </row>
    <row r="48" spans="1:11">
      <c r="A48" s="6">
        <v>2067</v>
      </c>
      <c r="B48" s="6" t="s">
        <v>826</v>
      </c>
      <c r="C48" s="6" t="s">
        <v>827</v>
      </c>
      <c r="D48" s="6">
        <v>103196</v>
      </c>
      <c r="E48" s="6" t="s">
        <v>411</v>
      </c>
      <c r="F48" s="6" t="s">
        <v>828</v>
      </c>
    </row>
    <row r="49" spans="1:6">
      <c r="A49" s="6">
        <v>2079</v>
      </c>
      <c r="B49" s="6" t="s">
        <v>639</v>
      </c>
      <c r="C49" s="6" t="s">
        <v>640</v>
      </c>
      <c r="D49" s="6">
        <v>103200</v>
      </c>
      <c r="E49" s="6" t="s">
        <v>411</v>
      </c>
      <c r="F49" s="6" t="s">
        <v>641</v>
      </c>
    </row>
    <row r="50" spans="1:6">
      <c r="A50" s="6">
        <v>2081</v>
      </c>
      <c r="B50" s="6" t="s">
        <v>465</v>
      </c>
      <c r="C50" s="6" t="s">
        <v>466</v>
      </c>
      <c r="D50" s="6">
        <v>103201</v>
      </c>
      <c r="E50" s="6" t="s">
        <v>415</v>
      </c>
      <c r="F50" s="6" t="s">
        <v>467</v>
      </c>
    </row>
    <row r="51" spans="1:6">
      <c r="A51" s="6">
        <v>2087</v>
      </c>
      <c r="B51" s="6" t="s">
        <v>648</v>
      </c>
      <c r="C51" s="6" t="s">
        <v>649</v>
      </c>
      <c r="D51" s="6">
        <v>103205</v>
      </c>
      <c r="E51" s="6" t="s">
        <v>411</v>
      </c>
      <c r="F51" s="6" t="s">
        <v>650</v>
      </c>
    </row>
    <row r="52" spans="1:6">
      <c r="A52" s="6">
        <v>2091</v>
      </c>
      <c r="B52" s="6" t="s">
        <v>654</v>
      </c>
      <c r="C52" s="6" t="s">
        <v>655</v>
      </c>
      <c r="D52" s="6">
        <v>103208</v>
      </c>
      <c r="E52" s="6" t="s">
        <v>411</v>
      </c>
      <c r="F52" s="6" t="s">
        <v>656</v>
      </c>
    </row>
    <row r="53" spans="1:6">
      <c r="A53" s="6">
        <v>2092</v>
      </c>
      <c r="B53" s="6" t="s">
        <v>298</v>
      </c>
      <c r="C53" s="6" t="s">
        <v>299</v>
      </c>
      <c r="D53" s="6">
        <v>103209</v>
      </c>
      <c r="E53" s="6" t="s">
        <v>229</v>
      </c>
      <c r="F53" s="6" t="s">
        <v>300</v>
      </c>
    </row>
    <row r="54" spans="1:6">
      <c r="A54" s="6">
        <v>2093</v>
      </c>
      <c r="B54" s="6" t="s">
        <v>468</v>
      </c>
      <c r="C54" s="6" t="s">
        <v>469</v>
      </c>
      <c r="D54" s="6">
        <v>103210</v>
      </c>
      <c r="E54" s="6" t="s">
        <v>415</v>
      </c>
      <c r="F54" s="6" t="s">
        <v>470</v>
      </c>
    </row>
    <row r="55" spans="1:6">
      <c r="A55" s="6">
        <v>2097</v>
      </c>
      <c r="B55" s="6" t="s">
        <v>540</v>
      </c>
      <c r="C55" s="6" t="s">
        <v>541</v>
      </c>
      <c r="D55" s="6">
        <v>103213</v>
      </c>
      <c r="E55" s="6" t="s">
        <v>415</v>
      </c>
      <c r="F55" s="6" t="s">
        <v>542</v>
      </c>
    </row>
    <row r="56" spans="1:6">
      <c r="A56" s="6">
        <v>2099</v>
      </c>
      <c r="B56" s="6" t="s">
        <v>471</v>
      </c>
      <c r="C56" s="6" t="s">
        <v>472</v>
      </c>
      <c r="D56" s="6">
        <v>103214</v>
      </c>
      <c r="E56" s="6" t="s">
        <v>415</v>
      </c>
      <c r="F56" s="6" t="s">
        <v>473</v>
      </c>
    </row>
    <row r="57" spans="1:6">
      <c r="A57" s="6">
        <v>2108</v>
      </c>
      <c r="B57" s="6" t="s">
        <v>835</v>
      </c>
      <c r="C57" s="6" t="s">
        <v>836</v>
      </c>
      <c r="D57" s="6">
        <v>103217</v>
      </c>
      <c r="E57" s="6" t="s">
        <v>411</v>
      </c>
      <c r="F57" s="6" t="s">
        <v>837</v>
      </c>
    </row>
    <row r="58" spans="1:6">
      <c r="A58" s="6">
        <v>2115</v>
      </c>
      <c r="B58" s="6" t="s">
        <v>695</v>
      </c>
      <c r="C58" s="6" t="s">
        <v>696</v>
      </c>
      <c r="D58" s="6">
        <v>103221</v>
      </c>
      <c r="E58" s="6" t="s">
        <v>411</v>
      </c>
      <c r="F58" s="6" t="s">
        <v>697</v>
      </c>
    </row>
    <row r="59" spans="1:6">
      <c r="A59" s="6">
        <v>2127</v>
      </c>
      <c r="B59" s="6" t="s">
        <v>316</v>
      </c>
      <c r="C59" s="6" t="s">
        <v>317</v>
      </c>
      <c r="D59" s="6">
        <v>103227</v>
      </c>
      <c r="E59" s="6" t="s">
        <v>229</v>
      </c>
      <c r="F59" s="6" t="s">
        <v>318</v>
      </c>
    </row>
    <row r="60" spans="1:6">
      <c r="A60" s="6">
        <v>2128</v>
      </c>
      <c r="B60" s="6" t="s">
        <v>322</v>
      </c>
      <c r="C60" s="6" t="s">
        <v>323</v>
      </c>
      <c r="D60" s="6">
        <v>103228</v>
      </c>
      <c r="E60" s="6" t="s">
        <v>229</v>
      </c>
      <c r="F60" s="6" t="s">
        <v>324</v>
      </c>
    </row>
    <row r="61" spans="1:6">
      <c r="A61" s="6">
        <v>2129</v>
      </c>
      <c r="B61" s="6" t="s">
        <v>319</v>
      </c>
      <c r="C61" s="6" t="s">
        <v>320</v>
      </c>
      <c r="D61" s="6">
        <v>103229</v>
      </c>
      <c r="E61" s="6" t="s">
        <v>229</v>
      </c>
      <c r="F61" s="6" t="s">
        <v>321</v>
      </c>
    </row>
    <row r="62" spans="1:6">
      <c r="A62" s="6">
        <v>2133</v>
      </c>
      <c r="B62" s="6" t="s">
        <v>325</v>
      </c>
      <c r="C62" s="6" t="s">
        <v>326</v>
      </c>
      <c r="D62" s="6">
        <v>103233</v>
      </c>
      <c r="E62" s="6" t="s">
        <v>229</v>
      </c>
      <c r="F62" s="6" t="s">
        <v>327</v>
      </c>
    </row>
    <row r="63" spans="1:6">
      <c r="A63" s="6">
        <v>2142</v>
      </c>
      <c r="B63" s="6" t="s">
        <v>722</v>
      </c>
      <c r="C63" s="6" t="s">
        <v>723</v>
      </c>
      <c r="D63" s="6">
        <v>103237</v>
      </c>
      <c r="E63" s="6" t="s">
        <v>411</v>
      </c>
      <c r="F63" s="6" t="s">
        <v>724</v>
      </c>
    </row>
    <row r="64" spans="1:6">
      <c r="A64" s="6">
        <v>2149</v>
      </c>
      <c r="B64" s="6" t="s">
        <v>737</v>
      </c>
      <c r="C64" s="6" t="s">
        <v>738</v>
      </c>
      <c r="D64" s="6">
        <v>103240</v>
      </c>
      <c r="E64" s="6" t="s">
        <v>411</v>
      </c>
      <c r="F64" s="6" t="s">
        <v>739</v>
      </c>
    </row>
    <row r="65" spans="1:11">
      <c r="A65" s="6">
        <v>2150</v>
      </c>
      <c r="B65" s="6" t="s">
        <v>740</v>
      </c>
      <c r="C65" s="6" t="s">
        <v>741</v>
      </c>
      <c r="D65" s="6">
        <v>103241</v>
      </c>
      <c r="E65" s="6" t="s">
        <v>411</v>
      </c>
      <c r="F65" s="6" t="s">
        <v>742</v>
      </c>
    </row>
    <row r="66" spans="1:11">
      <c r="A66" s="6">
        <v>2153</v>
      </c>
      <c r="B66" s="6" t="s">
        <v>413</v>
      </c>
      <c r="C66" s="6" t="s">
        <v>414</v>
      </c>
      <c r="D66" s="6">
        <v>103243</v>
      </c>
      <c r="E66" s="6" t="s">
        <v>415</v>
      </c>
      <c r="F66" s="6" t="s">
        <v>416</v>
      </c>
      <c r="K66" s="9"/>
    </row>
    <row r="67" spans="1:11">
      <c r="A67" s="6">
        <v>2157</v>
      </c>
      <c r="B67" s="6" t="s">
        <v>752</v>
      </c>
      <c r="C67" s="6" t="s">
        <v>753</v>
      </c>
      <c r="D67" s="6">
        <v>103246</v>
      </c>
      <c r="E67" s="6" t="s">
        <v>411</v>
      </c>
      <c r="F67" s="6" t="s">
        <v>754</v>
      </c>
    </row>
    <row r="68" spans="1:11">
      <c r="A68" s="6">
        <v>2159</v>
      </c>
      <c r="B68" s="6" t="s">
        <v>755</v>
      </c>
      <c r="C68" s="6" t="s">
        <v>756</v>
      </c>
      <c r="D68" s="6">
        <v>103247</v>
      </c>
      <c r="E68" s="6" t="s">
        <v>411</v>
      </c>
      <c r="F68" s="6" t="s">
        <v>757</v>
      </c>
    </row>
    <row r="69" spans="1:11">
      <c r="A69" s="6">
        <v>2160</v>
      </c>
      <c r="B69" s="6" t="s">
        <v>495</v>
      </c>
      <c r="C69" s="6" t="s">
        <v>496</v>
      </c>
      <c r="D69" s="6">
        <v>103248</v>
      </c>
      <c r="E69" s="6" t="s">
        <v>415</v>
      </c>
      <c r="F69" s="6" t="s">
        <v>497</v>
      </c>
    </row>
    <row r="70" spans="1:11">
      <c r="A70" s="6">
        <v>2161</v>
      </c>
      <c r="B70" s="6" t="s">
        <v>758</v>
      </c>
      <c r="C70" s="6" t="s">
        <v>759</v>
      </c>
      <c r="D70" s="6">
        <v>103249</v>
      </c>
      <c r="E70" s="6" t="s">
        <v>411</v>
      </c>
      <c r="F70" s="6" t="s">
        <v>760</v>
      </c>
    </row>
    <row r="71" spans="1:11">
      <c r="A71" s="6">
        <v>2169</v>
      </c>
      <c r="B71" s="6" t="s">
        <v>767</v>
      </c>
      <c r="C71" s="6" t="s">
        <v>768</v>
      </c>
      <c r="D71" s="6">
        <v>103252</v>
      </c>
      <c r="E71" s="6" t="s">
        <v>411</v>
      </c>
      <c r="F71" s="6" t="s">
        <v>769</v>
      </c>
    </row>
    <row r="72" spans="1:11">
      <c r="A72" s="6">
        <v>2174</v>
      </c>
      <c r="B72" s="6" t="s">
        <v>352</v>
      </c>
      <c r="C72" s="6" t="s">
        <v>353</v>
      </c>
      <c r="D72" s="6">
        <v>103255</v>
      </c>
      <c r="E72" s="6" t="s">
        <v>229</v>
      </c>
      <c r="F72" s="6" t="s">
        <v>354</v>
      </c>
    </row>
    <row r="73" spans="1:11">
      <c r="A73" s="6">
        <v>2176</v>
      </c>
      <c r="B73" s="6" t="s">
        <v>504</v>
      </c>
      <c r="C73" s="6" t="s">
        <v>505</v>
      </c>
      <c r="D73" s="6">
        <v>103256</v>
      </c>
      <c r="E73" s="6" t="s">
        <v>415</v>
      </c>
      <c r="F73" s="6" t="s">
        <v>506</v>
      </c>
    </row>
    <row r="74" spans="1:11">
      <c r="A74" s="6">
        <v>2178</v>
      </c>
      <c r="B74" s="6" t="s">
        <v>537</v>
      </c>
      <c r="C74" s="6" t="s">
        <v>538</v>
      </c>
      <c r="D74" s="6">
        <v>103257</v>
      </c>
      <c r="E74" s="6" t="s">
        <v>415</v>
      </c>
      <c r="F74" s="6" t="s">
        <v>539</v>
      </c>
    </row>
    <row r="75" spans="1:11">
      <c r="A75" s="6">
        <v>2183</v>
      </c>
      <c r="B75" s="6" t="s">
        <v>779</v>
      </c>
      <c r="C75" s="6" t="s">
        <v>780</v>
      </c>
      <c r="D75" s="6">
        <v>103261</v>
      </c>
      <c r="E75" s="6" t="s">
        <v>411</v>
      </c>
      <c r="F75" s="6" t="s">
        <v>781</v>
      </c>
    </row>
    <row r="76" spans="1:11">
      <c r="A76" s="6">
        <v>2184</v>
      </c>
      <c r="B76" s="6" t="s">
        <v>823</v>
      </c>
      <c r="C76" s="6" t="s">
        <v>824</v>
      </c>
      <c r="D76" s="6">
        <v>103262</v>
      </c>
      <c r="E76" s="6" t="s">
        <v>415</v>
      </c>
      <c r="F76" s="6" t="s">
        <v>825</v>
      </c>
    </row>
    <row r="77" spans="1:11">
      <c r="A77" s="6">
        <v>2185</v>
      </c>
      <c r="B77" s="6" t="s">
        <v>444</v>
      </c>
      <c r="C77" s="6" t="s">
        <v>445</v>
      </c>
      <c r="D77" s="6">
        <v>103263</v>
      </c>
      <c r="E77" s="6" t="s">
        <v>415</v>
      </c>
      <c r="F77" s="6" t="s">
        <v>446</v>
      </c>
    </row>
    <row r="78" spans="1:11">
      <c r="A78" s="6">
        <v>2189</v>
      </c>
      <c r="B78" s="6" t="s">
        <v>474</v>
      </c>
      <c r="C78" s="6" t="s">
        <v>475</v>
      </c>
      <c r="D78" s="6">
        <v>103265</v>
      </c>
      <c r="E78" s="6" t="s">
        <v>415</v>
      </c>
      <c r="F78" s="6" t="s">
        <v>476</v>
      </c>
    </row>
    <row r="79" spans="1:11">
      <c r="A79" s="6">
        <v>2190</v>
      </c>
      <c r="B79" s="6" t="s">
        <v>543</v>
      </c>
      <c r="C79" s="6" t="s">
        <v>544</v>
      </c>
      <c r="D79" s="6">
        <v>103266</v>
      </c>
      <c r="E79" s="6" t="s">
        <v>415</v>
      </c>
      <c r="F79" s="6" t="s">
        <v>545</v>
      </c>
    </row>
    <row r="80" spans="1:11">
      <c r="A80" s="6">
        <v>2191</v>
      </c>
      <c r="B80" s="6" t="s">
        <v>624</v>
      </c>
      <c r="C80" s="6" t="s">
        <v>625</v>
      </c>
      <c r="D80" s="6">
        <v>103267</v>
      </c>
      <c r="E80" s="6" t="s">
        <v>411</v>
      </c>
      <c r="F80" s="6" t="s">
        <v>626</v>
      </c>
    </row>
    <row r="81" spans="1:11">
      <c r="A81" s="6">
        <v>2192</v>
      </c>
      <c r="B81" s="6" t="s">
        <v>832</v>
      </c>
      <c r="C81" s="6" t="s">
        <v>833</v>
      </c>
      <c r="D81" s="6">
        <v>103268</v>
      </c>
      <c r="E81" s="6" t="s">
        <v>411</v>
      </c>
      <c r="F81" s="6" t="s">
        <v>834</v>
      </c>
    </row>
    <row r="82" spans="1:11">
      <c r="A82" s="6">
        <v>2225</v>
      </c>
      <c r="B82" s="6" t="s">
        <v>403</v>
      </c>
      <c r="C82" s="6" t="s">
        <v>404</v>
      </c>
      <c r="D82" s="6">
        <v>103279</v>
      </c>
      <c r="E82" s="6" t="s">
        <v>229</v>
      </c>
      <c r="F82" s="6" t="s">
        <v>405</v>
      </c>
      <c r="K82" s="9"/>
    </row>
    <row r="83" spans="1:11">
      <c r="A83" s="6">
        <v>2227</v>
      </c>
      <c r="B83" s="6" t="s">
        <v>850</v>
      </c>
      <c r="C83" s="6" t="s">
        <v>851</v>
      </c>
      <c r="D83" s="6">
        <v>103281</v>
      </c>
      <c r="E83" s="6" t="s">
        <v>411</v>
      </c>
      <c r="F83" s="6" t="s">
        <v>852</v>
      </c>
    </row>
    <row r="84" spans="1:11">
      <c r="A84" s="6">
        <v>2231</v>
      </c>
      <c r="B84" s="6" t="s">
        <v>853</v>
      </c>
      <c r="C84" s="6" t="s">
        <v>854</v>
      </c>
      <c r="D84" s="6">
        <v>103284</v>
      </c>
      <c r="E84" s="6" t="s">
        <v>411</v>
      </c>
      <c r="F84" s="6" t="s">
        <v>855</v>
      </c>
    </row>
    <row r="85" spans="1:11">
      <c r="A85" s="6">
        <v>2236</v>
      </c>
      <c r="B85" s="6" t="s">
        <v>258</v>
      </c>
      <c r="C85" s="6" t="s">
        <v>259</v>
      </c>
      <c r="D85" s="6">
        <v>103286</v>
      </c>
      <c r="E85" s="6" t="s">
        <v>229</v>
      </c>
      <c r="F85" s="6" t="s">
        <v>260</v>
      </c>
    </row>
    <row r="86" spans="1:11">
      <c r="A86" s="192">
        <v>2238</v>
      </c>
      <c r="B86" s="192" t="s">
        <v>255</v>
      </c>
      <c r="C86" s="6" t="s">
        <v>256</v>
      </c>
      <c r="D86" s="6">
        <v>103288</v>
      </c>
      <c r="E86" s="192" t="s">
        <v>229</v>
      </c>
      <c r="F86" s="6" t="s">
        <v>257</v>
      </c>
    </row>
    <row r="87" spans="1:11">
      <c r="A87" s="6">
        <v>2239</v>
      </c>
      <c r="B87" s="6" t="s">
        <v>420</v>
      </c>
      <c r="C87" s="6" t="s">
        <v>421</v>
      </c>
      <c r="D87" s="6">
        <v>103289</v>
      </c>
      <c r="E87" s="6" t="s">
        <v>415</v>
      </c>
      <c r="F87" s="6" t="s">
        <v>422</v>
      </c>
      <c r="K87" s="9"/>
    </row>
    <row r="88" spans="1:11">
      <c r="A88" s="6">
        <v>2241</v>
      </c>
      <c r="B88" s="6" t="s">
        <v>597</v>
      </c>
      <c r="C88" s="6" t="s">
        <v>598</v>
      </c>
      <c r="D88" s="6">
        <v>103291</v>
      </c>
      <c r="E88" s="6" t="s">
        <v>411</v>
      </c>
      <c r="F88" s="6" t="s">
        <v>599</v>
      </c>
    </row>
    <row r="89" spans="1:11">
      <c r="A89" s="6">
        <v>2245</v>
      </c>
      <c r="B89" s="6" t="s">
        <v>561</v>
      </c>
      <c r="C89" s="6" t="s">
        <v>562</v>
      </c>
      <c r="D89" s="6">
        <v>103295</v>
      </c>
      <c r="E89" s="6" t="s">
        <v>415</v>
      </c>
      <c r="F89" s="6" t="s">
        <v>563</v>
      </c>
    </row>
    <row r="90" spans="1:11">
      <c r="A90" s="6">
        <v>2246</v>
      </c>
      <c r="B90" s="6" t="s">
        <v>829</v>
      </c>
      <c r="C90" s="6" t="s">
        <v>830</v>
      </c>
      <c r="D90" s="6">
        <v>103296</v>
      </c>
      <c r="E90" s="6" t="s">
        <v>411</v>
      </c>
      <c r="F90" s="6" t="s">
        <v>831</v>
      </c>
    </row>
    <row r="91" spans="1:11">
      <c r="A91" s="6">
        <v>2251</v>
      </c>
      <c r="B91" s="6" t="s">
        <v>270</v>
      </c>
      <c r="C91" s="6" t="s">
        <v>271</v>
      </c>
      <c r="D91" s="6">
        <v>103298</v>
      </c>
      <c r="E91" s="6" t="s">
        <v>229</v>
      </c>
      <c r="F91" s="6" t="s">
        <v>272</v>
      </c>
    </row>
    <row r="92" spans="1:11">
      <c r="A92" s="6">
        <v>2254</v>
      </c>
      <c r="B92" s="6" t="s">
        <v>603</v>
      </c>
      <c r="C92" s="6" t="s">
        <v>604</v>
      </c>
      <c r="D92" s="6">
        <v>103300</v>
      </c>
      <c r="E92" s="6" t="s">
        <v>411</v>
      </c>
      <c r="F92" s="6" t="s">
        <v>605</v>
      </c>
    </row>
    <row r="93" spans="1:11">
      <c r="A93" s="6">
        <v>2278</v>
      </c>
      <c r="B93" s="6" t="s">
        <v>570</v>
      </c>
      <c r="C93" s="6" t="s">
        <v>571</v>
      </c>
      <c r="D93" s="6">
        <v>103310</v>
      </c>
      <c r="E93" s="6" t="s">
        <v>415</v>
      </c>
      <c r="F93" s="6" t="s">
        <v>572</v>
      </c>
    </row>
    <row r="94" spans="1:11">
      <c r="A94" s="6">
        <v>2284</v>
      </c>
      <c r="B94" s="6" t="s">
        <v>627</v>
      </c>
      <c r="C94" s="6" t="s">
        <v>628</v>
      </c>
      <c r="D94" s="6">
        <v>103313</v>
      </c>
      <c r="E94" s="6" t="s">
        <v>411</v>
      </c>
      <c r="F94" s="6" t="s">
        <v>629</v>
      </c>
    </row>
    <row r="95" spans="1:11">
      <c r="A95" s="6">
        <v>2289</v>
      </c>
      <c r="B95" s="6" t="s">
        <v>618</v>
      </c>
      <c r="C95" s="6" t="s">
        <v>619</v>
      </c>
      <c r="D95" s="6">
        <v>103315</v>
      </c>
      <c r="E95" s="6" t="s">
        <v>411</v>
      </c>
      <c r="F95" s="6" t="s">
        <v>620</v>
      </c>
    </row>
    <row r="96" spans="1:11">
      <c r="A96" s="6">
        <v>2293</v>
      </c>
      <c r="B96" s="6" t="s">
        <v>400</v>
      </c>
      <c r="C96" s="6" t="s">
        <v>401</v>
      </c>
      <c r="D96" s="6">
        <v>103317</v>
      </c>
      <c r="E96" s="6" t="s">
        <v>229</v>
      </c>
      <c r="F96" s="6" t="s">
        <v>402</v>
      </c>
      <c r="K96" s="9"/>
    </row>
    <row r="97" spans="1:11">
      <c r="A97" s="6">
        <v>2294</v>
      </c>
      <c r="B97" s="6" t="s">
        <v>633</v>
      </c>
      <c r="C97" s="6" t="s">
        <v>634</v>
      </c>
      <c r="D97" s="6">
        <v>103318</v>
      </c>
      <c r="E97" s="6" t="s">
        <v>411</v>
      </c>
      <c r="F97" s="6" t="s">
        <v>635</v>
      </c>
    </row>
    <row r="98" spans="1:11">
      <c r="A98" s="6">
        <v>2296</v>
      </c>
      <c r="B98" s="6" t="s">
        <v>294</v>
      </c>
      <c r="C98" s="6" t="s">
        <v>295</v>
      </c>
      <c r="D98" s="6">
        <v>103320</v>
      </c>
      <c r="E98" s="6" t="s">
        <v>296</v>
      </c>
      <c r="F98" s="6" t="s">
        <v>297</v>
      </c>
    </row>
    <row r="99" spans="1:11">
      <c r="A99" s="6">
        <v>2300</v>
      </c>
      <c r="B99" s="6" t="s">
        <v>234</v>
      </c>
      <c r="C99" s="6" t="s">
        <v>235</v>
      </c>
      <c r="D99" s="6">
        <v>103324</v>
      </c>
      <c r="E99" s="6" t="s">
        <v>229</v>
      </c>
      <c r="F99" s="6" t="s">
        <v>236</v>
      </c>
    </row>
    <row r="100" spans="1:11">
      <c r="A100" s="6">
        <v>2306</v>
      </c>
      <c r="B100" s="6" t="s">
        <v>555</v>
      </c>
      <c r="C100" s="6" t="s">
        <v>556</v>
      </c>
      <c r="D100" s="6">
        <v>103326</v>
      </c>
      <c r="E100" s="6" t="s">
        <v>415</v>
      </c>
      <c r="F100" s="6" t="s">
        <v>557</v>
      </c>
    </row>
    <row r="101" spans="1:11">
      <c r="A101" s="6">
        <v>2308</v>
      </c>
      <c r="B101" s="6" t="s">
        <v>391</v>
      </c>
      <c r="C101" s="6" t="s">
        <v>392</v>
      </c>
      <c r="D101" s="6">
        <v>103328</v>
      </c>
      <c r="E101" s="6" t="s">
        <v>229</v>
      </c>
      <c r="F101" s="6" t="s">
        <v>393</v>
      </c>
      <c r="K101" s="9"/>
    </row>
    <row r="102" spans="1:11">
      <c r="A102" s="6">
        <v>2312</v>
      </c>
      <c r="B102" s="6" t="s">
        <v>264</v>
      </c>
      <c r="C102" s="6" t="s">
        <v>265</v>
      </c>
      <c r="D102" s="6">
        <v>103332</v>
      </c>
      <c r="E102" s="6" t="s">
        <v>229</v>
      </c>
      <c r="F102" s="6" t="s">
        <v>266</v>
      </c>
    </row>
    <row r="103" spans="1:11">
      <c r="A103" s="6">
        <v>2314</v>
      </c>
      <c r="B103" s="6" t="s">
        <v>847</v>
      </c>
      <c r="C103" s="6" t="s">
        <v>848</v>
      </c>
      <c r="D103" s="6">
        <v>103334</v>
      </c>
      <c r="E103" s="6" t="s">
        <v>411</v>
      </c>
      <c r="F103" s="6" t="s">
        <v>849</v>
      </c>
    </row>
    <row r="104" spans="1:11">
      <c r="A104" s="6">
        <v>2317</v>
      </c>
      <c r="B104" s="6" t="s">
        <v>573</v>
      </c>
      <c r="C104" s="6" t="s">
        <v>574</v>
      </c>
      <c r="D104" s="6">
        <v>103337</v>
      </c>
      <c r="E104" s="6" t="s">
        <v>415</v>
      </c>
      <c r="F104" s="6" t="s">
        <v>575</v>
      </c>
    </row>
    <row r="105" spans="1:11">
      <c r="A105" s="6">
        <v>2321</v>
      </c>
      <c r="B105" s="6" t="s">
        <v>701</v>
      </c>
      <c r="C105" s="6" t="s">
        <v>702</v>
      </c>
      <c r="D105" s="6">
        <v>103339</v>
      </c>
      <c r="E105" s="6" t="s">
        <v>411</v>
      </c>
      <c r="F105" s="6" t="s">
        <v>703</v>
      </c>
    </row>
    <row r="106" spans="1:11">
      <c r="A106" s="6">
        <v>2401</v>
      </c>
      <c r="B106" s="6" t="s">
        <v>246</v>
      </c>
      <c r="C106" s="6" t="s">
        <v>247</v>
      </c>
      <c r="D106" s="6">
        <v>103341</v>
      </c>
      <c r="E106" s="6" t="s">
        <v>229</v>
      </c>
      <c r="F106" s="6" t="s">
        <v>248</v>
      </c>
    </row>
    <row r="107" spans="1:11">
      <c r="A107" s="6">
        <v>2402</v>
      </c>
      <c r="B107" s="6" t="s">
        <v>243</v>
      </c>
      <c r="C107" s="6" t="s">
        <v>244</v>
      </c>
      <c r="D107" s="6">
        <v>103342</v>
      </c>
      <c r="E107" s="6" t="s">
        <v>229</v>
      </c>
      <c r="F107" s="6" t="s">
        <v>245</v>
      </c>
    </row>
    <row r="108" spans="1:11">
      <c r="A108" s="6">
        <v>2406</v>
      </c>
      <c r="B108" s="6" t="s">
        <v>486</v>
      </c>
      <c r="C108" s="6" t="s">
        <v>487</v>
      </c>
      <c r="D108" s="6">
        <v>103345</v>
      </c>
      <c r="E108" s="6" t="s">
        <v>415</v>
      </c>
      <c r="F108" s="6" t="s">
        <v>488</v>
      </c>
    </row>
    <row r="109" spans="1:11">
      <c r="A109" s="6">
        <v>2412</v>
      </c>
      <c r="B109" s="6" t="s">
        <v>406</v>
      </c>
      <c r="C109" s="6" t="s">
        <v>407</v>
      </c>
      <c r="D109" s="6">
        <v>103349</v>
      </c>
      <c r="E109" s="6" t="s">
        <v>229</v>
      </c>
      <c r="F109" s="6" t="s">
        <v>408</v>
      </c>
      <c r="K109" s="9"/>
    </row>
    <row r="110" spans="1:11">
      <c r="A110" s="6">
        <v>2416</v>
      </c>
      <c r="B110" s="6" t="s">
        <v>331</v>
      </c>
      <c r="C110" s="6" t="s">
        <v>332</v>
      </c>
      <c r="D110" s="6">
        <v>103351</v>
      </c>
      <c r="E110" s="6" t="s">
        <v>229</v>
      </c>
      <c r="F110" s="6" t="s">
        <v>333</v>
      </c>
    </row>
    <row r="111" spans="1:11">
      <c r="A111" s="6">
        <v>2420</v>
      </c>
      <c r="B111" s="6" t="s">
        <v>483</v>
      </c>
      <c r="C111" s="6" t="s">
        <v>484</v>
      </c>
      <c r="D111" s="6">
        <v>103353</v>
      </c>
      <c r="E111" s="6" t="s">
        <v>415</v>
      </c>
      <c r="F111" s="6" t="s">
        <v>485</v>
      </c>
    </row>
    <row r="112" spans="1:11">
      <c r="A112" s="6">
        <v>2425</v>
      </c>
      <c r="B112" s="6" t="s">
        <v>743</v>
      </c>
      <c r="C112" s="6" t="s">
        <v>744</v>
      </c>
      <c r="D112" s="6">
        <v>103356</v>
      </c>
      <c r="E112" s="6" t="s">
        <v>411</v>
      </c>
      <c r="F112" s="6" t="s">
        <v>745</v>
      </c>
    </row>
    <row r="113" spans="1:11">
      <c r="A113" s="6">
        <v>2435</v>
      </c>
      <c r="B113" s="6" t="s">
        <v>423</v>
      </c>
      <c r="C113" s="6" t="s">
        <v>424</v>
      </c>
      <c r="D113" s="6">
        <v>103362</v>
      </c>
      <c r="E113" s="6" t="s">
        <v>415</v>
      </c>
      <c r="F113" s="6" t="s">
        <v>425</v>
      </c>
      <c r="K113" s="9"/>
    </row>
    <row r="114" spans="1:11">
      <c r="A114" s="6">
        <v>2441</v>
      </c>
      <c r="B114" s="6" t="s">
        <v>698</v>
      </c>
      <c r="C114" s="6" t="s">
        <v>699</v>
      </c>
      <c r="D114" s="6">
        <v>103368</v>
      </c>
      <c r="E114" s="6" t="s">
        <v>411</v>
      </c>
      <c r="F114" s="6" t="s">
        <v>700</v>
      </c>
    </row>
    <row r="115" spans="1:11">
      <c r="A115" s="6">
        <v>2445</v>
      </c>
      <c r="B115" s="6" t="s">
        <v>567</v>
      </c>
      <c r="C115" s="6" t="s">
        <v>568</v>
      </c>
      <c r="D115" s="6">
        <v>103372</v>
      </c>
      <c r="E115" s="6" t="s">
        <v>415</v>
      </c>
      <c r="F115" s="6" t="s">
        <v>569</v>
      </c>
    </row>
    <row r="116" spans="1:11">
      <c r="A116" s="6">
        <v>2454</v>
      </c>
      <c r="B116" s="6" t="s">
        <v>453</v>
      </c>
      <c r="C116" s="6" t="s">
        <v>454</v>
      </c>
      <c r="D116" s="6">
        <v>103381</v>
      </c>
      <c r="E116" s="6" t="s">
        <v>415</v>
      </c>
      <c r="F116" s="6" t="s">
        <v>455</v>
      </c>
    </row>
    <row r="117" spans="1:11">
      <c r="A117" s="6">
        <v>2456</v>
      </c>
      <c r="B117" s="6" t="s">
        <v>600</v>
      </c>
      <c r="C117" s="6" t="s">
        <v>601</v>
      </c>
      <c r="D117" s="6">
        <v>103383</v>
      </c>
      <c r="E117" s="6" t="s">
        <v>411</v>
      </c>
      <c r="F117" s="6" t="s">
        <v>602</v>
      </c>
    </row>
    <row r="118" spans="1:11">
      <c r="A118" s="6">
        <v>2457</v>
      </c>
      <c r="B118" s="6" t="s">
        <v>719</v>
      </c>
      <c r="C118" s="6" t="s">
        <v>720</v>
      </c>
      <c r="D118" s="6">
        <v>103384</v>
      </c>
      <c r="E118" s="6" t="s">
        <v>411</v>
      </c>
      <c r="F118" s="6" t="s">
        <v>721</v>
      </c>
    </row>
    <row r="119" spans="1:11">
      <c r="A119" s="6">
        <v>2462</v>
      </c>
      <c r="B119" s="6" t="s">
        <v>313</v>
      </c>
      <c r="C119" s="6" t="s">
        <v>314</v>
      </c>
      <c r="D119" s="6">
        <v>103388</v>
      </c>
      <c r="E119" s="6" t="s">
        <v>229</v>
      </c>
      <c r="F119" s="6" t="s">
        <v>315</v>
      </c>
    </row>
    <row r="120" spans="1:11">
      <c r="A120" s="6">
        <v>2464</v>
      </c>
      <c r="B120" s="6" t="s">
        <v>447</v>
      </c>
      <c r="C120" s="6" t="s">
        <v>448</v>
      </c>
      <c r="D120" s="6">
        <v>103390</v>
      </c>
      <c r="E120" s="6" t="s">
        <v>415</v>
      </c>
      <c r="F120" s="6" t="s">
        <v>449</v>
      </c>
    </row>
    <row r="121" spans="1:11">
      <c r="A121" s="6">
        <v>2465</v>
      </c>
      <c r="B121" s="6" t="s">
        <v>432</v>
      </c>
      <c r="C121" s="6" t="s">
        <v>433</v>
      </c>
      <c r="D121" s="6">
        <v>103391</v>
      </c>
      <c r="E121" s="6" t="s">
        <v>415</v>
      </c>
      <c r="F121" s="6" t="s">
        <v>434</v>
      </c>
      <c r="K121" s="9"/>
    </row>
    <row r="122" spans="1:11">
      <c r="A122" s="6">
        <v>2466</v>
      </c>
      <c r="B122" s="6" t="s">
        <v>651</v>
      </c>
      <c r="C122" s="6" t="s">
        <v>652</v>
      </c>
      <c r="D122" s="6">
        <v>103392</v>
      </c>
      <c r="E122" s="6" t="s">
        <v>411</v>
      </c>
      <c r="F122" s="6" t="s">
        <v>653</v>
      </c>
    </row>
    <row r="123" spans="1:11">
      <c r="A123" s="6">
        <v>2469</v>
      </c>
      <c r="B123" s="6" t="s">
        <v>725</v>
      </c>
      <c r="C123" s="6" t="s">
        <v>726</v>
      </c>
      <c r="D123" s="6">
        <v>103395</v>
      </c>
      <c r="E123" s="6" t="s">
        <v>411</v>
      </c>
      <c r="F123" s="6" t="s">
        <v>727</v>
      </c>
    </row>
    <row r="124" spans="1:11">
      <c r="A124" s="6">
        <v>2474</v>
      </c>
      <c r="B124" s="6" t="s">
        <v>675</v>
      </c>
      <c r="C124" s="6" t="s">
        <v>676</v>
      </c>
      <c r="D124" s="6">
        <v>131672</v>
      </c>
      <c r="E124" s="6" t="s">
        <v>411</v>
      </c>
      <c r="F124" s="6" t="s">
        <v>677</v>
      </c>
    </row>
    <row r="125" spans="1:11">
      <c r="A125" s="6">
        <v>2477</v>
      </c>
      <c r="B125" s="6" t="s">
        <v>660</v>
      </c>
      <c r="C125" s="6" t="s">
        <v>661</v>
      </c>
      <c r="D125" s="6">
        <v>132261</v>
      </c>
      <c r="E125" s="6" t="s">
        <v>411</v>
      </c>
      <c r="F125" s="6" t="s">
        <v>662</v>
      </c>
    </row>
    <row r="126" spans="1:11">
      <c r="A126" s="6">
        <v>2478</v>
      </c>
      <c r="B126" s="6" t="s">
        <v>564</v>
      </c>
      <c r="C126" s="6" t="s">
        <v>565</v>
      </c>
      <c r="D126" s="6">
        <v>132007</v>
      </c>
      <c r="E126" s="6" t="s">
        <v>229</v>
      </c>
      <c r="F126" s="6" t="s">
        <v>566</v>
      </c>
    </row>
    <row r="127" spans="1:11">
      <c r="A127" s="6">
        <v>2479</v>
      </c>
      <c r="B127" s="6" t="s">
        <v>417</v>
      </c>
      <c r="C127" s="6" t="s">
        <v>418</v>
      </c>
      <c r="D127" s="6">
        <v>132074</v>
      </c>
      <c r="E127" s="6" t="s">
        <v>415</v>
      </c>
      <c r="F127" s="6" t="s">
        <v>419</v>
      </c>
      <c r="K127" s="9"/>
    </row>
    <row r="128" spans="1:11">
      <c r="A128" s="6">
        <v>2482</v>
      </c>
      <c r="B128" s="6" t="s">
        <v>558</v>
      </c>
      <c r="C128" s="6" t="s">
        <v>559</v>
      </c>
      <c r="D128" s="6">
        <v>132201</v>
      </c>
      <c r="E128" s="6" t="s">
        <v>415</v>
      </c>
      <c r="F128" s="6" t="s">
        <v>560</v>
      </c>
    </row>
    <row r="129" spans="1:12">
      <c r="A129" s="6">
        <v>2486</v>
      </c>
      <c r="B129" s="6" t="s">
        <v>291</v>
      </c>
      <c r="C129" s="6" t="s">
        <v>292</v>
      </c>
      <c r="D129" s="6">
        <v>133759</v>
      </c>
      <c r="E129" s="6" t="s">
        <v>229</v>
      </c>
      <c r="F129" s="6" t="s">
        <v>293</v>
      </c>
    </row>
    <row r="130" spans="1:12">
      <c r="A130" s="6">
        <v>3002</v>
      </c>
      <c r="B130" s="6" t="s">
        <v>273</v>
      </c>
      <c r="C130" s="6" t="s">
        <v>274</v>
      </c>
      <c r="D130" s="192">
        <v>103397</v>
      </c>
      <c r="E130" s="6" t="s">
        <v>229</v>
      </c>
      <c r="F130" s="6" t="s">
        <v>275</v>
      </c>
    </row>
    <row r="131" spans="1:12">
      <c r="A131" s="6">
        <v>3003</v>
      </c>
      <c r="B131" s="6" t="s">
        <v>716</v>
      </c>
      <c r="C131" s="6" t="s">
        <v>717</v>
      </c>
      <c r="D131" s="6">
        <v>103398</v>
      </c>
      <c r="E131" s="6" t="s">
        <v>411</v>
      </c>
      <c r="F131" s="6" t="s">
        <v>718</v>
      </c>
    </row>
    <row r="132" spans="1:12">
      <c r="A132" s="6">
        <v>3010</v>
      </c>
      <c r="B132" s="6" t="s">
        <v>797</v>
      </c>
      <c r="C132" s="6" t="s">
        <v>798</v>
      </c>
      <c r="D132" s="6">
        <v>103401</v>
      </c>
      <c r="E132" s="6" t="s">
        <v>411</v>
      </c>
      <c r="F132" s="6" t="s">
        <v>799</v>
      </c>
    </row>
    <row r="133" spans="1:12">
      <c r="A133" s="6">
        <v>3016</v>
      </c>
      <c r="B133" s="6" t="s">
        <v>364</v>
      </c>
      <c r="C133" s="6" t="s">
        <v>365</v>
      </c>
      <c r="D133" s="6">
        <v>103404</v>
      </c>
      <c r="E133" s="6" t="s">
        <v>229</v>
      </c>
      <c r="F133" s="6" t="s">
        <v>366</v>
      </c>
    </row>
    <row r="134" spans="1:12">
      <c r="A134" s="6">
        <v>3019</v>
      </c>
      <c r="B134" s="6" t="s">
        <v>534</v>
      </c>
      <c r="C134" s="6" t="s">
        <v>535</v>
      </c>
      <c r="D134" s="6">
        <v>103406</v>
      </c>
      <c r="E134" s="6" t="s">
        <v>415</v>
      </c>
      <c r="F134" s="6" t="s">
        <v>536</v>
      </c>
    </row>
    <row r="135" spans="1:12">
      <c r="A135" s="6">
        <v>3025</v>
      </c>
      <c r="B135" s="6" t="s">
        <v>809</v>
      </c>
      <c r="C135" s="6" t="s">
        <v>810</v>
      </c>
      <c r="D135" s="6">
        <v>103410</v>
      </c>
      <c r="E135" s="6" t="s">
        <v>411</v>
      </c>
      <c r="F135" s="6" t="s">
        <v>157</v>
      </c>
    </row>
    <row r="136" spans="1:12">
      <c r="A136" s="6">
        <v>3307</v>
      </c>
      <c r="B136" s="6" t="s">
        <v>803</v>
      </c>
      <c r="C136" s="6" t="s">
        <v>804</v>
      </c>
      <c r="D136" s="6">
        <v>103416</v>
      </c>
      <c r="E136" s="6" t="s">
        <v>411</v>
      </c>
      <c r="F136" s="6" t="s">
        <v>805</v>
      </c>
    </row>
    <row r="137" spans="1:12">
      <c r="A137" s="6">
        <v>3310</v>
      </c>
      <c r="B137" s="6" t="s">
        <v>820</v>
      </c>
      <c r="C137" s="6" t="s">
        <v>821</v>
      </c>
      <c r="D137" s="6">
        <v>103417</v>
      </c>
      <c r="E137" s="6" t="s">
        <v>411</v>
      </c>
      <c r="F137" s="6" t="s">
        <v>822</v>
      </c>
    </row>
    <row r="138" spans="1:12">
      <c r="A138" s="6">
        <v>3317</v>
      </c>
      <c r="B138" s="6" t="s">
        <v>678</v>
      </c>
      <c r="C138" s="6" t="s">
        <v>679</v>
      </c>
      <c r="D138" s="6">
        <v>103421</v>
      </c>
      <c r="E138" s="6" t="s">
        <v>411</v>
      </c>
      <c r="F138" s="6" t="s">
        <v>161</v>
      </c>
    </row>
    <row r="139" spans="1:12">
      <c r="A139" s="6">
        <v>3319</v>
      </c>
      <c r="B139" s="6" t="s">
        <v>276</v>
      </c>
      <c r="C139" s="6" t="s">
        <v>277</v>
      </c>
      <c r="D139" s="192">
        <v>103423</v>
      </c>
      <c r="E139" s="6" t="s">
        <v>229</v>
      </c>
      <c r="F139" s="6" t="s">
        <v>278</v>
      </c>
    </row>
    <row r="140" spans="1:12">
      <c r="A140" s="6">
        <v>3320</v>
      </c>
      <c r="B140" s="6" t="s">
        <v>621</v>
      </c>
      <c r="C140" s="6" t="s">
        <v>622</v>
      </c>
      <c r="D140" s="6">
        <v>103424</v>
      </c>
      <c r="E140" s="6" t="s">
        <v>411</v>
      </c>
      <c r="F140" s="6" t="s">
        <v>623</v>
      </c>
    </row>
    <row r="141" spans="1:12">
      <c r="A141" s="6">
        <v>3321</v>
      </c>
      <c r="B141" s="6" t="s">
        <v>456</v>
      </c>
      <c r="C141" s="6" t="s">
        <v>457</v>
      </c>
      <c r="D141" s="6">
        <v>103425</v>
      </c>
      <c r="E141" s="6" t="s">
        <v>415</v>
      </c>
      <c r="F141" s="6" t="s">
        <v>458</v>
      </c>
    </row>
    <row r="142" spans="1:12">
      <c r="A142" s="6">
        <v>3322</v>
      </c>
      <c r="B142" s="6" t="s">
        <v>328</v>
      </c>
      <c r="C142" s="6" t="s">
        <v>329</v>
      </c>
      <c r="D142" s="6">
        <v>103426</v>
      </c>
      <c r="E142" s="6" t="s">
        <v>229</v>
      </c>
      <c r="F142" s="6" t="s">
        <v>330</v>
      </c>
    </row>
    <row r="143" spans="1:12">
      <c r="A143" s="6">
        <v>3323</v>
      </c>
      <c r="B143" s="6" t="s">
        <v>376</v>
      </c>
      <c r="C143" s="6" t="s">
        <v>377</v>
      </c>
      <c r="D143" s="6">
        <v>103427</v>
      </c>
      <c r="E143" s="6" t="s">
        <v>229</v>
      </c>
      <c r="F143" s="6" t="s">
        <v>378</v>
      </c>
      <c r="K143" s="1"/>
      <c r="L143" s="1"/>
    </row>
    <row r="144" spans="1:12">
      <c r="A144" s="6">
        <v>3328</v>
      </c>
      <c r="B144" s="6" t="s">
        <v>492</v>
      </c>
      <c r="C144" s="6" t="s">
        <v>493</v>
      </c>
      <c r="D144" s="6">
        <v>103430</v>
      </c>
      <c r="E144" s="6" t="s">
        <v>415</v>
      </c>
      <c r="F144" s="6" t="s">
        <v>494</v>
      </c>
    </row>
    <row r="145" spans="1:6">
      <c r="A145" s="6">
        <v>3329</v>
      </c>
      <c r="B145" s="6" t="s">
        <v>776</v>
      </c>
      <c r="C145" s="6" t="s">
        <v>777</v>
      </c>
      <c r="D145" s="6">
        <v>103431</v>
      </c>
      <c r="E145" s="6" t="s">
        <v>411</v>
      </c>
      <c r="F145" s="6" t="s">
        <v>778</v>
      </c>
    </row>
    <row r="146" spans="1:6">
      <c r="A146" s="6">
        <v>3331</v>
      </c>
      <c r="B146" s="6" t="s">
        <v>785</v>
      </c>
      <c r="C146" s="6" t="s">
        <v>786</v>
      </c>
      <c r="D146" s="6">
        <v>103433</v>
      </c>
      <c r="E146" s="6" t="s">
        <v>411</v>
      </c>
      <c r="F146" s="6" t="s">
        <v>787</v>
      </c>
    </row>
    <row r="147" spans="1:6">
      <c r="A147" s="6">
        <v>3335</v>
      </c>
      <c r="B147" s="6" t="s">
        <v>513</v>
      </c>
      <c r="C147" s="6" t="s">
        <v>514</v>
      </c>
      <c r="D147" s="6">
        <v>103434</v>
      </c>
      <c r="E147" s="6" t="s">
        <v>415</v>
      </c>
      <c r="F147" s="6" t="s">
        <v>515</v>
      </c>
    </row>
    <row r="148" spans="1:6">
      <c r="A148" s="6">
        <v>3342</v>
      </c>
      <c r="B148" s="6" t="s">
        <v>794</v>
      </c>
      <c r="C148" s="6" t="s">
        <v>795</v>
      </c>
      <c r="D148" s="6">
        <v>103437</v>
      </c>
      <c r="E148" s="6" t="s">
        <v>411</v>
      </c>
      <c r="F148" s="6" t="s">
        <v>796</v>
      </c>
    </row>
    <row r="149" spans="1:6">
      <c r="A149" s="6">
        <v>3344</v>
      </c>
      <c r="B149" s="6" t="s">
        <v>528</v>
      </c>
      <c r="C149" s="6" t="s">
        <v>529</v>
      </c>
      <c r="D149" s="6">
        <v>103438</v>
      </c>
      <c r="E149" s="6" t="s">
        <v>415</v>
      </c>
      <c r="F149" s="6" t="s">
        <v>530</v>
      </c>
    </row>
    <row r="150" spans="1:6">
      <c r="A150" s="6">
        <v>3346</v>
      </c>
      <c r="B150" s="6" t="s">
        <v>811</v>
      </c>
      <c r="C150" s="6" t="s">
        <v>812</v>
      </c>
      <c r="D150" s="6">
        <v>103439</v>
      </c>
      <c r="E150" s="6" t="s">
        <v>411</v>
      </c>
      <c r="F150" s="6" t="s">
        <v>813</v>
      </c>
    </row>
    <row r="151" spans="1:6">
      <c r="A151" s="6">
        <v>3351</v>
      </c>
      <c r="B151" s="6" t="s">
        <v>489</v>
      </c>
      <c r="C151" s="6" t="s">
        <v>490</v>
      </c>
      <c r="D151" s="6">
        <v>103443</v>
      </c>
      <c r="E151" s="6" t="s">
        <v>415</v>
      </c>
      <c r="F151" s="6" t="s">
        <v>491</v>
      </c>
    </row>
    <row r="152" spans="1:6">
      <c r="A152" s="6">
        <v>3352</v>
      </c>
      <c r="B152" s="6" t="s">
        <v>683</v>
      </c>
      <c r="C152" s="6" t="s">
        <v>684</v>
      </c>
      <c r="D152" s="6">
        <v>103444</v>
      </c>
      <c r="E152" s="6" t="s">
        <v>411</v>
      </c>
      <c r="F152" s="6" t="s">
        <v>685</v>
      </c>
    </row>
    <row r="153" spans="1:6">
      <c r="A153" s="6">
        <v>3353</v>
      </c>
      <c r="B153" s="6" t="s">
        <v>609</v>
      </c>
      <c r="C153" s="6" t="s">
        <v>610</v>
      </c>
      <c r="D153" s="6">
        <v>103445</v>
      </c>
      <c r="E153" s="6" t="s">
        <v>411</v>
      </c>
      <c r="F153" s="6" t="s">
        <v>611</v>
      </c>
    </row>
    <row r="154" spans="1:6">
      <c r="A154" s="6">
        <v>3355</v>
      </c>
      <c r="B154" s="6" t="s">
        <v>519</v>
      </c>
      <c r="C154" s="6" t="s">
        <v>520</v>
      </c>
      <c r="D154" s="6">
        <v>103447</v>
      </c>
      <c r="E154" s="6" t="s">
        <v>415</v>
      </c>
      <c r="F154" s="6" t="s">
        <v>521</v>
      </c>
    </row>
    <row r="155" spans="1:6">
      <c r="A155" s="6">
        <v>3361</v>
      </c>
      <c r="B155" s="6" t="s">
        <v>525</v>
      </c>
      <c r="C155" s="6" t="s">
        <v>526</v>
      </c>
      <c r="D155" s="6">
        <v>103453</v>
      </c>
      <c r="E155" s="6" t="s">
        <v>415</v>
      </c>
      <c r="F155" s="6" t="s">
        <v>527</v>
      </c>
    </row>
    <row r="156" spans="1:6">
      <c r="A156" s="6">
        <v>3363</v>
      </c>
      <c r="B156" s="6" t="s">
        <v>355</v>
      </c>
      <c r="C156" s="6" t="s">
        <v>356</v>
      </c>
      <c r="D156" s="6">
        <v>103455</v>
      </c>
      <c r="E156" s="6" t="s">
        <v>229</v>
      </c>
      <c r="F156" s="6" t="s">
        <v>357</v>
      </c>
    </row>
    <row r="157" spans="1:6">
      <c r="A157" s="6">
        <v>3365</v>
      </c>
      <c r="B157" s="6" t="s">
        <v>814</v>
      </c>
      <c r="C157" s="6" t="s">
        <v>815</v>
      </c>
      <c r="D157" s="6">
        <v>103456</v>
      </c>
      <c r="E157" s="6" t="s">
        <v>411</v>
      </c>
      <c r="F157" s="6" t="s">
        <v>816</v>
      </c>
    </row>
    <row r="158" spans="1:6">
      <c r="A158" s="6">
        <v>3367</v>
      </c>
      <c r="B158" s="6" t="s">
        <v>522</v>
      </c>
      <c r="C158" s="6" t="s">
        <v>523</v>
      </c>
      <c r="D158" s="6">
        <v>103458</v>
      </c>
      <c r="E158" s="6" t="s">
        <v>415</v>
      </c>
      <c r="F158" s="6" t="s">
        <v>524</v>
      </c>
    </row>
    <row r="159" spans="1:6">
      <c r="A159" s="6">
        <v>3371</v>
      </c>
      <c r="B159" s="6" t="s">
        <v>361</v>
      </c>
      <c r="C159" s="6" t="s">
        <v>362</v>
      </c>
      <c r="D159" s="6">
        <v>103459</v>
      </c>
      <c r="E159" s="6" t="s">
        <v>229</v>
      </c>
      <c r="F159" s="6" t="s">
        <v>363</v>
      </c>
    </row>
    <row r="160" spans="1:6">
      <c r="A160" s="6">
        <v>3372</v>
      </c>
      <c r="B160" s="6" t="s">
        <v>516</v>
      </c>
      <c r="C160" s="6" t="s">
        <v>517</v>
      </c>
      <c r="D160" s="6">
        <v>103460</v>
      </c>
      <c r="E160" s="6" t="s">
        <v>415</v>
      </c>
      <c r="F160" s="6" t="s">
        <v>518</v>
      </c>
    </row>
    <row r="161" spans="1:6">
      <c r="A161" s="6">
        <v>3375</v>
      </c>
      <c r="B161" s="6" t="s">
        <v>782</v>
      </c>
      <c r="C161" s="6" t="s">
        <v>783</v>
      </c>
      <c r="D161" s="6">
        <v>103462</v>
      </c>
      <c r="E161" s="6" t="s">
        <v>229</v>
      </c>
      <c r="F161" s="6" t="s">
        <v>784</v>
      </c>
    </row>
    <row r="162" spans="1:6">
      <c r="A162" s="6">
        <v>3377</v>
      </c>
      <c r="B162" s="6" t="s">
        <v>358</v>
      </c>
      <c r="C162" s="6" t="s">
        <v>359</v>
      </c>
      <c r="D162" s="6">
        <v>103463</v>
      </c>
      <c r="E162" s="6" t="s">
        <v>229</v>
      </c>
      <c r="F162" s="6" t="s">
        <v>360</v>
      </c>
    </row>
    <row r="163" spans="1:6">
      <c r="A163" s="6">
        <v>3380</v>
      </c>
      <c r="B163" s="6" t="s">
        <v>510</v>
      </c>
      <c r="C163" s="6" t="s">
        <v>511</v>
      </c>
      <c r="D163" s="6">
        <v>103465</v>
      </c>
      <c r="E163" s="6" t="s">
        <v>415</v>
      </c>
      <c r="F163" s="6" t="s">
        <v>512</v>
      </c>
    </row>
    <row r="164" spans="1:6">
      <c r="A164" s="6">
        <v>3381</v>
      </c>
      <c r="B164" s="6" t="s">
        <v>773</v>
      </c>
      <c r="C164" s="6" t="s">
        <v>774</v>
      </c>
      <c r="D164" s="6">
        <v>103466</v>
      </c>
      <c r="E164" s="6" t="s">
        <v>411</v>
      </c>
      <c r="F164" s="6" t="s">
        <v>775</v>
      </c>
    </row>
    <row r="165" spans="1:6">
      <c r="A165" s="6">
        <v>3382</v>
      </c>
      <c r="B165" s="6" t="s">
        <v>806</v>
      </c>
      <c r="C165" s="6" t="s">
        <v>807</v>
      </c>
      <c r="D165" s="6">
        <v>103467</v>
      </c>
      <c r="E165" s="6" t="s">
        <v>411</v>
      </c>
      <c r="F165" s="6" t="s">
        <v>808</v>
      </c>
    </row>
    <row r="166" spans="1:6">
      <c r="A166" s="6">
        <v>3385</v>
      </c>
      <c r="B166" s="6" t="s">
        <v>531</v>
      </c>
      <c r="C166" s="6" t="s">
        <v>532</v>
      </c>
      <c r="D166" s="6">
        <v>103469</v>
      </c>
      <c r="E166" s="6" t="s">
        <v>415</v>
      </c>
      <c r="F166" s="6" t="s">
        <v>533</v>
      </c>
    </row>
    <row r="167" spans="1:6">
      <c r="A167" s="6">
        <v>3386</v>
      </c>
      <c r="B167" s="6" t="s">
        <v>791</v>
      </c>
      <c r="C167" s="6" t="s">
        <v>792</v>
      </c>
      <c r="D167" s="6">
        <v>103470</v>
      </c>
      <c r="E167" s="6" t="s">
        <v>411</v>
      </c>
      <c r="F167" s="6" t="s">
        <v>793</v>
      </c>
    </row>
    <row r="168" spans="1:6">
      <c r="A168" s="6">
        <v>3406</v>
      </c>
      <c r="B168" s="6" t="s">
        <v>788</v>
      </c>
      <c r="C168" s="6" t="s">
        <v>789</v>
      </c>
      <c r="D168" s="6">
        <v>103476</v>
      </c>
      <c r="E168" s="6" t="s">
        <v>411</v>
      </c>
      <c r="F168" s="6" t="s">
        <v>790</v>
      </c>
    </row>
    <row r="169" spans="1:6">
      <c r="A169" s="6">
        <v>3410</v>
      </c>
      <c r="B169" s="6" t="s">
        <v>507</v>
      </c>
      <c r="C169" s="6" t="s">
        <v>508</v>
      </c>
      <c r="D169" s="6">
        <v>103478</v>
      </c>
      <c r="E169" s="6" t="s">
        <v>415</v>
      </c>
      <c r="F169" s="6" t="s">
        <v>509</v>
      </c>
    </row>
    <row r="170" spans="1:6">
      <c r="A170" s="6">
        <v>3411</v>
      </c>
      <c r="B170" s="6" t="s">
        <v>672</v>
      </c>
      <c r="C170" s="6" t="s">
        <v>673</v>
      </c>
      <c r="D170" s="6">
        <v>103479</v>
      </c>
      <c r="E170" s="6" t="s">
        <v>411</v>
      </c>
      <c r="F170" s="6" t="s">
        <v>674</v>
      </c>
    </row>
    <row r="171" spans="1:6">
      <c r="A171" s="6">
        <v>3421</v>
      </c>
      <c r="B171" s="6" t="s">
        <v>576</v>
      </c>
      <c r="C171" s="6" t="s">
        <v>577</v>
      </c>
      <c r="D171" s="6">
        <v>133996</v>
      </c>
      <c r="E171" s="6" t="s">
        <v>415</v>
      </c>
      <c r="F171" s="6" t="s">
        <v>578</v>
      </c>
    </row>
    <row r="172" spans="1:6">
      <c r="A172" s="6">
        <v>3428</v>
      </c>
      <c r="B172" s="6" t="s">
        <v>370</v>
      </c>
      <c r="C172" s="6" t="s">
        <v>371</v>
      </c>
      <c r="D172" s="6">
        <v>134476</v>
      </c>
      <c r="E172" s="6" t="s">
        <v>229</v>
      </c>
      <c r="F172" s="6" t="s">
        <v>372</v>
      </c>
    </row>
    <row r="173" spans="1:6">
      <c r="A173" s="6">
        <v>3431</v>
      </c>
      <c r="B173" s="6" t="s">
        <v>728</v>
      </c>
      <c r="C173" s="6" t="s">
        <v>729</v>
      </c>
      <c r="D173" s="6">
        <v>134774</v>
      </c>
      <c r="E173" s="6" t="s">
        <v>411</v>
      </c>
      <c r="F173" s="6" t="s">
        <v>730</v>
      </c>
    </row>
    <row r="174" spans="1:6">
      <c r="A174" s="6">
        <v>3432</v>
      </c>
      <c r="B174" s="6" t="s">
        <v>441</v>
      </c>
      <c r="C174" s="6" t="s">
        <v>442</v>
      </c>
      <c r="D174" s="6">
        <v>134840</v>
      </c>
      <c r="E174" s="6" t="s">
        <v>415</v>
      </c>
      <c r="F174" s="6" t="s">
        <v>443</v>
      </c>
    </row>
    <row r="175" spans="1:6">
      <c r="A175" s="6">
        <v>3435</v>
      </c>
      <c r="B175" s="6" t="s">
        <v>459</v>
      </c>
      <c r="C175" s="6" t="s">
        <v>460</v>
      </c>
      <c r="D175" s="6">
        <v>131920</v>
      </c>
      <c r="E175" s="6" t="s">
        <v>415</v>
      </c>
      <c r="F175" s="6" t="s">
        <v>461</v>
      </c>
    </row>
    <row r="176" spans="1:6">
      <c r="A176" s="6">
        <v>3436</v>
      </c>
      <c r="B176" s="6" t="s">
        <v>663</v>
      </c>
      <c r="C176" s="6" t="s">
        <v>664</v>
      </c>
      <c r="D176" s="6">
        <v>136440</v>
      </c>
      <c r="E176" s="6" t="s">
        <v>411</v>
      </c>
      <c r="F176" s="6" t="s">
        <v>665</v>
      </c>
    </row>
    <row r="177" spans="1:11">
      <c r="A177" s="6">
        <v>4015</v>
      </c>
      <c r="B177" s="6" t="s">
        <v>304</v>
      </c>
      <c r="C177" s="6" t="s">
        <v>305</v>
      </c>
      <c r="D177" s="6">
        <v>103483</v>
      </c>
      <c r="E177" s="6" t="s">
        <v>229</v>
      </c>
      <c r="F177" s="6" t="s">
        <v>306</v>
      </c>
    </row>
    <row r="178" spans="1:11">
      <c r="A178" s="6">
        <v>4063</v>
      </c>
      <c r="B178" s="6" t="s">
        <v>686</v>
      </c>
      <c r="C178" s="6" t="s">
        <v>687</v>
      </c>
      <c r="D178" s="6">
        <v>103486</v>
      </c>
      <c r="E178" s="6" t="s">
        <v>229</v>
      </c>
      <c r="F178" s="6" t="s">
        <v>688</v>
      </c>
    </row>
    <row r="179" spans="1:11">
      <c r="A179" s="6">
        <v>4115</v>
      </c>
      <c r="B179" s="6" t="s">
        <v>249</v>
      </c>
      <c r="C179" s="6" t="s">
        <v>250</v>
      </c>
      <c r="D179" s="192">
        <v>103493</v>
      </c>
      <c r="E179" s="6" t="s">
        <v>229</v>
      </c>
      <c r="F179" s="6" t="s">
        <v>251</v>
      </c>
    </row>
    <row r="180" spans="1:11">
      <c r="A180" s="6">
        <v>4173</v>
      </c>
      <c r="B180" s="6" t="s">
        <v>340</v>
      </c>
      <c r="C180" s="6" t="s">
        <v>341</v>
      </c>
      <c r="D180" s="6">
        <v>103497</v>
      </c>
      <c r="E180" s="6" t="s">
        <v>229</v>
      </c>
      <c r="F180" s="6" t="s">
        <v>342</v>
      </c>
    </row>
    <row r="181" spans="1:11">
      <c r="A181" s="6">
        <v>4177</v>
      </c>
      <c r="B181" s="6" t="s">
        <v>346</v>
      </c>
      <c r="C181" s="6" t="s">
        <v>347</v>
      </c>
      <c r="D181" s="6">
        <v>103498</v>
      </c>
      <c r="E181" s="6" t="s">
        <v>229</v>
      </c>
      <c r="F181" s="6" t="s">
        <v>348</v>
      </c>
    </row>
    <row r="182" spans="1:11">
      <c r="A182" s="6">
        <v>4193</v>
      </c>
      <c r="B182" s="6" t="s">
        <v>397</v>
      </c>
      <c r="C182" s="6" t="s">
        <v>398</v>
      </c>
      <c r="D182" s="6">
        <v>103501</v>
      </c>
      <c r="E182" s="6" t="s">
        <v>229</v>
      </c>
      <c r="F182" s="6" t="s">
        <v>399</v>
      </c>
      <c r="K182" s="9"/>
    </row>
    <row r="183" spans="1:11">
      <c r="A183" s="6">
        <v>4201</v>
      </c>
      <c r="B183" s="6" t="s">
        <v>301</v>
      </c>
      <c r="C183" s="6" t="s">
        <v>302</v>
      </c>
      <c r="D183" s="6">
        <v>103503</v>
      </c>
      <c r="E183" s="6" t="s">
        <v>229</v>
      </c>
      <c r="F183" s="6" t="s">
        <v>303</v>
      </c>
    </row>
    <row r="184" spans="1:11">
      <c r="A184" s="6">
        <v>4223</v>
      </c>
      <c r="B184" s="6" t="s">
        <v>307</v>
      </c>
      <c r="C184" s="6" t="s">
        <v>308</v>
      </c>
      <c r="D184" s="6">
        <v>103509</v>
      </c>
      <c r="E184" s="6" t="s">
        <v>229</v>
      </c>
      <c r="F184" s="6" t="s">
        <v>309</v>
      </c>
    </row>
    <row r="185" spans="1:11">
      <c r="A185" s="6">
        <v>4237</v>
      </c>
      <c r="B185" s="6" t="s">
        <v>373</v>
      </c>
      <c r="C185" s="6" t="s">
        <v>374</v>
      </c>
      <c r="D185" s="6">
        <v>103514</v>
      </c>
      <c r="E185" s="6" t="s">
        <v>229</v>
      </c>
      <c r="F185" s="6" t="s">
        <v>375</v>
      </c>
    </row>
    <row r="186" spans="1:11">
      <c r="A186" s="6">
        <v>4245</v>
      </c>
      <c r="B186" s="6" t="s">
        <v>334</v>
      </c>
      <c r="C186" s="6" t="s">
        <v>335</v>
      </c>
      <c r="D186" s="6">
        <v>103519</v>
      </c>
      <c r="E186" s="6" t="s">
        <v>229</v>
      </c>
      <c r="F186" s="6" t="s">
        <v>336</v>
      </c>
    </row>
    <row r="187" spans="1:11">
      <c r="A187" s="6">
        <v>4606</v>
      </c>
      <c r="B187" s="6" t="s">
        <v>367</v>
      </c>
      <c r="C187" s="6" t="s">
        <v>368</v>
      </c>
      <c r="D187" s="6">
        <v>103531</v>
      </c>
      <c r="E187" s="6" t="s">
        <v>229</v>
      </c>
      <c r="F187" s="6" t="s">
        <v>369</v>
      </c>
    </row>
    <row r="188" spans="1:11">
      <c r="A188" s="6">
        <v>4625</v>
      </c>
      <c r="B188" s="6" t="s">
        <v>800</v>
      </c>
      <c r="C188" s="6" t="s">
        <v>801</v>
      </c>
      <c r="D188" s="6">
        <v>103534</v>
      </c>
      <c r="E188" s="6" t="s">
        <v>411</v>
      </c>
      <c r="F188" s="6" t="s">
        <v>802</v>
      </c>
    </row>
    <row r="189" spans="1:11">
      <c r="A189" s="6">
        <v>4801</v>
      </c>
      <c r="B189" s="6" t="s">
        <v>261</v>
      </c>
      <c r="C189" s="6" t="s">
        <v>262</v>
      </c>
      <c r="D189" s="6">
        <v>103539</v>
      </c>
      <c r="E189" s="6" t="s">
        <v>229</v>
      </c>
      <c r="F189" s="6" t="s">
        <v>263</v>
      </c>
    </row>
    <row r="190" spans="1:11">
      <c r="A190" s="6">
        <v>5202</v>
      </c>
      <c r="B190" s="6" t="s">
        <v>388</v>
      </c>
      <c r="C190" s="6" t="s">
        <v>389</v>
      </c>
      <c r="D190" s="6">
        <v>103543</v>
      </c>
      <c r="E190" s="6" t="s">
        <v>229</v>
      </c>
      <c r="F190" s="6" t="s">
        <v>390</v>
      </c>
      <c r="K190" s="9"/>
    </row>
    <row r="191" spans="1:11">
      <c r="A191" s="6">
        <v>5203</v>
      </c>
      <c r="B191" s="6" t="s">
        <v>385</v>
      </c>
      <c r="C191" s="6" t="s">
        <v>386</v>
      </c>
      <c r="D191" s="6">
        <v>103544</v>
      </c>
      <c r="E191" s="6" t="s">
        <v>229</v>
      </c>
      <c r="F191" s="6" t="s">
        <v>387</v>
      </c>
      <c r="K191" s="9"/>
    </row>
    <row r="192" spans="1:11">
      <c r="A192" s="6">
        <v>5413</v>
      </c>
      <c r="B192" s="6" t="s">
        <v>240</v>
      </c>
      <c r="C192" s="6" t="s">
        <v>241</v>
      </c>
      <c r="D192" s="6">
        <v>103560</v>
      </c>
      <c r="E192" s="6" t="s">
        <v>229</v>
      </c>
      <c r="F192" s="6" t="s">
        <v>242</v>
      </c>
    </row>
    <row r="193" spans="1:11">
      <c r="A193" s="6">
        <v>5416</v>
      </c>
      <c r="B193" s="6" t="s">
        <v>279</v>
      </c>
      <c r="C193" s="6" t="s">
        <v>280</v>
      </c>
      <c r="D193" s="6">
        <v>103563</v>
      </c>
      <c r="E193" s="6" t="s">
        <v>229</v>
      </c>
      <c r="F193" s="6" t="s">
        <v>281</v>
      </c>
    </row>
    <row r="194" spans="1:11">
      <c r="A194" s="6">
        <v>5949</v>
      </c>
      <c r="B194" s="6" t="s">
        <v>579</v>
      </c>
      <c r="C194" s="6" t="s">
        <v>580</v>
      </c>
      <c r="D194" s="6">
        <v>131465</v>
      </c>
      <c r="E194" s="6" t="s">
        <v>411</v>
      </c>
      <c r="F194" s="6" t="s">
        <v>581</v>
      </c>
    </row>
    <row r="195" spans="1:11">
      <c r="A195" s="6">
        <v>7006</v>
      </c>
      <c r="B195" s="6" t="s">
        <v>657</v>
      </c>
      <c r="C195" s="6" t="s">
        <v>658</v>
      </c>
      <c r="D195" s="6">
        <v>103600</v>
      </c>
      <c r="E195" s="6" t="s">
        <v>411</v>
      </c>
      <c r="F195" s="6" t="s">
        <v>659</v>
      </c>
    </row>
    <row r="196" spans="1:11">
      <c r="A196" s="6">
        <v>7009</v>
      </c>
      <c r="B196" s="6" t="s">
        <v>382</v>
      </c>
      <c r="C196" s="6" t="s">
        <v>383</v>
      </c>
      <c r="D196" s="6">
        <v>103601</v>
      </c>
      <c r="E196" s="6" t="s">
        <v>229</v>
      </c>
      <c r="F196" s="6" t="s">
        <v>384</v>
      </c>
      <c r="K196" s="9"/>
    </row>
    <row r="197" spans="1:11">
      <c r="A197" s="6">
        <v>7012</v>
      </c>
      <c r="B197" s="6" t="s">
        <v>480</v>
      </c>
      <c r="C197" s="6" t="s">
        <v>481</v>
      </c>
      <c r="D197" s="6">
        <v>103603</v>
      </c>
      <c r="E197" s="6" t="s">
        <v>415</v>
      </c>
      <c r="F197" s="6" t="s">
        <v>482</v>
      </c>
    </row>
    <row r="198" spans="1:11">
      <c r="A198" s="6">
        <v>7014</v>
      </c>
      <c r="B198" s="6" t="s">
        <v>379</v>
      </c>
      <c r="C198" s="6" t="s">
        <v>380</v>
      </c>
      <c r="D198" s="6">
        <v>103605</v>
      </c>
      <c r="E198" s="6" t="s">
        <v>229</v>
      </c>
      <c r="F198" s="6" t="s">
        <v>381</v>
      </c>
      <c r="K198" s="9"/>
    </row>
    <row r="199" spans="1:11">
      <c r="A199" s="6">
        <v>7016</v>
      </c>
      <c r="B199" s="6" t="s">
        <v>237</v>
      </c>
      <c r="C199" s="6" t="s">
        <v>238</v>
      </c>
      <c r="D199" s="6">
        <v>103606</v>
      </c>
      <c r="E199" s="6" t="s">
        <v>229</v>
      </c>
      <c r="F199" s="6" t="s">
        <v>239</v>
      </c>
    </row>
    <row r="200" spans="1:11">
      <c r="A200" s="6">
        <v>7030</v>
      </c>
      <c r="B200" s="6" t="s">
        <v>429</v>
      </c>
      <c r="C200" s="6" t="s">
        <v>430</v>
      </c>
      <c r="D200" s="6">
        <v>103611</v>
      </c>
      <c r="E200" s="6" t="s">
        <v>415</v>
      </c>
      <c r="F200" s="6" t="s">
        <v>431</v>
      </c>
      <c r="K200" s="9"/>
    </row>
    <row r="201" spans="1:11">
      <c r="A201" s="6">
        <v>7033</v>
      </c>
      <c r="B201" s="6" t="s">
        <v>343</v>
      </c>
      <c r="C201" s="6" t="s">
        <v>344</v>
      </c>
      <c r="D201" s="6">
        <v>103613</v>
      </c>
      <c r="E201" s="6" t="s">
        <v>229</v>
      </c>
      <c r="F201" s="6" t="s">
        <v>345</v>
      </c>
    </row>
    <row r="202" spans="1:11">
      <c r="A202" s="6">
        <v>7034</v>
      </c>
      <c r="B202" s="6" t="s">
        <v>749</v>
      </c>
      <c r="C202" s="6" t="s">
        <v>750</v>
      </c>
      <c r="D202" s="6">
        <v>103614</v>
      </c>
      <c r="E202" s="6" t="s">
        <v>411</v>
      </c>
      <c r="F202" s="6" t="s">
        <v>751</v>
      </c>
    </row>
    <row r="203" spans="1:11">
      <c r="A203" s="6">
        <v>7035</v>
      </c>
      <c r="B203" s="6" t="s">
        <v>546</v>
      </c>
      <c r="C203" s="6" t="s">
        <v>547</v>
      </c>
      <c r="D203" s="6">
        <v>103615</v>
      </c>
      <c r="E203" s="6" t="s">
        <v>415</v>
      </c>
      <c r="F203" s="6" t="s">
        <v>548</v>
      </c>
    </row>
    <row r="204" spans="1:11">
      <c r="A204" s="6">
        <v>7045</v>
      </c>
      <c r="B204" s="6" t="s">
        <v>549</v>
      </c>
      <c r="C204" s="6" t="s">
        <v>550</v>
      </c>
      <c r="D204" s="6">
        <v>103622</v>
      </c>
      <c r="E204" s="6" t="s">
        <v>415</v>
      </c>
      <c r="F204" s="6" t="s">
        <v>551</v>
      </c>
    </row>
    <row r="205" spans="1:11">
      <c r="A205" s="6">
        <v>7047</v>
      </c>
      <c r="B205" s="6" t="s">
        <v>770</v>
      </c>
      <c r="C205" s="6" t="s">
        <v>771</v>
      </c>
      <c r="D205" s="6">
        <v>103623</v>
      </c>
      <c r="E205" s="6" t="s">
        <v>411</v>
      </c>
      <c r="F205" s="6" t="s">
        <v>772</v>
      </c>
    </row>
    <row r="206" spans="1:11">
      <c r="A206" s="6">
        <v>7050</v>
      </c>
      <c r="B206" s="6" t="s">
        <v>462</v>
      </c>
      <c r="C206" s="6" t="s">
        <v>463</v>
      </c>
      <c r="D206" s="6">
        <v>103625</v>
      </c>
      <c r="E206" s="6" t="s">
        <v>415</v>
      </c>
      <c r="F206" s="6" t="s">
        <v>464</v>
      </c>
    </row>
    <row r="207" spans="1:11">
      <c r="A207" s="6">
        <v>7051</v>
      </c>
      <c r="B207" s="6" t="s">
        <v>267</v>
      </c>
      <c r="C207" s="6" t="s">
        <v>268</v>
      </c>
      <c r="D207" s="6">
        <v>103626</v>
      </c>
      <c r="E207" s="6" t="s">
        <v>229</v>
      </c>
      <c r="F207" s="6" t="s">
        <v>269</v>
      </c>
    </row>
    <row r="208" spans="1:11">
      <c r="A208" s="6">
        <v>7052</v>
      </c>
      <c r="B208" s="6" t="s">
        <v>588</v>
      </c>
      <c r="C208" s="6" t="s">
        <v>589</v>
      </c>
      <c r="D208" s="6">
        <v>103627</v>
      </c>
      <c r="E208" s="6" t="s">
        <v>411</v>
      </c>
      <c r="F208" s="6" t="s">
        <v>590</v>
      </c>
    </row>
    <row r="209" spans="1:12">
      <c r="A209" s="6">
        <v>7053</v>
      </c>
      <c r="B209" s="6" t="s">
        <v>337</v>
      </c>
      <c r="C209" s="6" t="s">
        <v>338</v>
      </c>
      <c r="D209" s="6">
        <v>103628</v>
      </c>
      <c r="E209" s="6" t="s">
        <v>229</v>
      </c>
      <c r="F209" s="6" t="s">
        <v>339</v>
      </c>
      <c r="K209" s="1"/>
      <c r="L209" s="1"/>
    </row>
    <row r="210" spans="1:12">
      <c r="A210" s="6">
        <v>7060</v>
      </c>
      <c r="B210" s="6" t="s">
        <v>477</v>
      </c>
      <c r="C210" s="6" t="s">
        <v>478</v>
      </c>
      <c r="D210" s="6">
        <v>103630</v>
      </c>
      <c r="E210" s="6" t="s">
        <v>415</v>
      </c>
      <c r="F210" s="6" t="s">
        <v>479</v>
      </c>
    </row>
    <row r="211" spans="1:12">
      <c r="A211" s="6">
        <v>7062</v>
      </c>
      <c r="B211" s="6" t="s">
        <v>707</v>
      </c>
      <c r="C211" s="6" t="s">
        <v>708</v>
      </c>
      <c r="D211" s="6">
        <v>103632</v>
      </c>
      <c r="E211" s="6" t="s">
        <v>411</v>
      </c>
      <c r="F211" s="6" t="s">
        <v>709</v>
      </c>
    </row>
  </sheetData>
  <autoFilter ref="A2:P2" xr:uid="{0750CFC7-2873-4814-80E4-8A7B7B468BAA}">
    <sortState xmlns:xlrd2="http://schemas.microsoft.com/office/spreadsheetml/2017/richdata2" ref="A3:P211">
      <sortCondition ref="A2"/>
    </sortState>
  </autoFilter>
  <sortState xmlns:xlrd2="http://schemas.microsoft.com/office/spreadsheetml/2017/richdata2" ref="A4:E19">
    <sortCondition ref="D4:D19"/>
  </sortState>
  <phoneticPr fontId="97" type="noConversion"/>
  <conditionalFormatting sqref="A2:E20">
    <cfRule type="cellIs" dxfId="0" priority="1" operator="lessThan">
      <formula>0</formula>
    </cfRule>
  </conditionalFormatting>
  <pageMargins left="0.7" right="0.7" top="0.75" bottom="0.75" header="0.3" footer="0.3"/>
  <headerFooter>
    <oddFooter>&amp;C_x000D_&amp;1#&amp;"Calibri"&amp;10&amp;K000000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045cb57-2d54-4b58-99da-7290c5ee29d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B9CDE189919C44A88C98FE4ABDC86E" ma:contentTypeVersion="9" ma:contentTypeDescription="Create a new document." ma:contentTypeScope="" ma:versionID="e618c8dd2cd0a1e5e678f352176eb9b3">
  <xsd:schema xmlns:xsd="http://www.w3.org/2001/XMLSchema" xmlns:xs="http://www.w3.org/2001/XMLSchema" xmlns:p="http://schemas.microsoft.com/office/2006/metadata/properties" xmlns:ns3="0045cb57-2d54-4b58-99da-7290c5ee29d4" xmlns:ns4="a7861eb7-c59d-4dcc-b7fc-8a1f0b0e9f82" targetNamespace="http://schemas.microsoft.com/office/2006/metadata/properties" ma:root="true" ma:fieldsID="9a6b5a9a85a7e9481ac5352f097decdf" ns3:_="" ns4:_="">
    <xsd:import namespace="0045cb57-2d54-4b58-99da-7290c5ee29d4"/>
    <xsd:import namespace="a7861eb7-c59d-4dcc-b7fc-8a1f0b0e9f82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5cb57-2d54-4b58-99da-7290c5ee29d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61eb7-c59d-4dcc-b7fc-8a1f0b0e9f8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CEB0B6-1A5E-45F2-A605-B2C0D3E4F3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A208F7-8C11-4951-BB85-466BA6BD88E0}">
  <ds:schemaRefs>
    <ds:schemaRef ds:uri="http://schemas.openxmlformats.org/package/2006/metadata/core-properties"/>
    <ds:schemaRef ds:uri="http://purl.org/dc/dcmitype/"/>
    <ds:schemaRef ds:uri="0045cb57-2d54-4b58-99da-7290c5ee29d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a7861eb7-c59d-4dcc-b7fc-8a1f0b0e9f82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412D06D-4AF5-44DE-A80F-DB4AAB0D57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5cb57-2d54-4b58-99da-7290c5ee29d4"/>
    <ds:schemaRef ds:uri="a7861eb7-c59d-4dcc-b7fc-8a1f0b0e9f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Calculator</vt:lpstr>
      <vt:lpstr>Grants</vt:lpstr>
      <vt:lpstr>Summary Oct 2024</vt:lpstr>
      <vt:lpstr>OtherDSG</vt:lpstr>
      <vt:lpstr>Post 16</vt:lpstr>
      <vt:lpstr>HN</vt:lpstr>
      <vt:lpstr>EY</vt:lpstr>
      <vt:lpstr>Adjustments</vt:lpstr>
      <vt:lpstr>ISB</vt:lpstr>
      <vt:lpstr>ETA4</vt:lpstr>
      <vt:lpstr>LA Expenditure</vt:lpstr>
      <vt:lpstr>LA Income </vt:lpstr>
      <vt:lpstr>Lookup</vt:lpstr>
      <vt:lpstr>Calculator!Print_Area</vt:lpstr>
    </vt:vector>
  </TitlesOfParts>
  <Company>London Borough of Redbridge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2024/25 LA Statement of Funding and Provisional School Budget Payment Schedule</dc:title>
  <dc:creator>Melissa Williamson</dc:creator>
  <cp:lastModifiedBy>Blessed Ephraim</cp:lastModifiedBy>
  <cp:lastPrinted>2024-10-03T09:32:06Z</cp:lastPrinted>
  <dcterms:created xsi:type="dcterms:W3CDTF">2017-03-31T08:18:11Z</dcterms:created>
  <dcterms:modified xsi:type="dcterms:W3CDTF">2024-10-03T10:11:18Z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0x0101001BB9CDE189919C44A88C98FE4ABDC86E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SIP_Label_a17471b1-27ab-4640-9264-e69a67407ca3_Enabled">
    <vt:lpwstr>true</vt:lpwstr>
  </property>
  <property fmtid="{D5CDD505-2E9C-101B-9397-08002B2CF9AE}" pid="7" name="MSIP_Label_a17471b1-27ab-4640-9264-e69a67407ca3_SetDate">
    <vt:lpwstr>2024-05-24T10:54:52Z</vt:lpwstr>
  </property>
  <property fmtid="{D5CDD505-2E9C-101B-9397-08002B2CF9AE}" pid="8" name="MSIP_Label_a17471b1-27ab-4640-9264-e69a67407ca3_Method">
    <vt:lpwstr>Standard</vt:lpwstr>
  </property>
  <property fmtid="{D5CDD505-2E9C-101B-9397-08002B2CF9AE}" pid="9" name="MSIP_Label_a17471b1-27ab-4640-9264-e69a67407ca3_Name">
    <vt:lpwstr>BCC - OFFICIAL</vt:lpwstr>
  </property>
  <property fmtid="{D5CDD505-2E9C-101B-9397-08002B2CF9AE}" pid="10" name="MSIP_Label_a17471b1-27ab-4640-9264-e69a67407ca3_SiteId">
    <vt:lpwstr>699ace67-d2e4-4bcd-b303-d2bbe2b9bbf1</vt:lpwstr>
  </property>
  <property fmtid="{D5CDD505-2E9C-101B-9397-08002B2CF9AE}" pid="11" name="MSIP_Label_a17471b1-27ab-4640-9264-e69a67407ca3_ActionId">
    <vt:lpwstr>d69e5e4a-f524-4583-8dd9-b967dc4ea78d</vt:lpwstr>
  </property>
  <property fmtid="{D5CDD505-2E9C-101B-9397-08002B2CF9AE}" pid="12" name="MSIP_Label_a17471b1-27ab-4640-9264-e69a67407ca3_ContentBits">
    <vt:lpwstr>2</vt:lpwstr>
  </property>
  <property fmtid="{D5CDD505-2E9C-101B-9397-08002B2CF9AE}" pid="13" name="CloudStatistics_StoryID">
    <vt:lpwstr>f1cabbc7-f424-401d-8e91-af78949920cb</vt:lpwstr>
  </property>
</Properties>
</file>